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ownloads\"/>
    </mc:Choice>
  </mc:AlternateContent>
  <bookViews>
    <workbookView xWindow="240" yWindow="300" windowWidth="15060" windowHeight="7875" tabRatio="701" firstSheet="1" activeTab="1"/>
  </bookViews>
  <sheets>
    <sheet name="Hoja1" sheetId="1" state="hidden" r:id="rId1"/>
    <sheet name="CONSTRUCCION DEL DIAGRAMA" sheetId="2" r:id="rId2"/>
    <sheet name="DISEÑO DE COLUMNAS" sheetId="4" r:id="rId3"/>
    <sheet name="DIAGRAMA DE ITERACCION" sheetId="3" r:id="rId4"/>
  </sheets>
  <calcPr calcId="152511"/>
</workbook>
</file>

<file path=xl/calcChain.xml><?xml version="1.0" encoding="utf-8"?>
<calcChain xmlns="http://schemas.openxmlformats.org/spreadsheetml/2006/main">
  <c r="Q135" i="2" l="1"/>
  <c r="Q130" i="2"/>
  <c r="O130" i="2"/>
  <c r="F135" i="2"/>
  <c r="O135" i="2" s="1"/>
  <c r="Q122" i="2"/>
  <c r="E112" i="2"/>
  <c r="C112" i="2"/>
  <c r="E111" i="2"/>
  <c r="C111" i="2"/>
  <c r="E110" i="2"/>
  <c r="G110" i="2" s="1"/>
  <c r="C110" i="2"/>
  <c r="E109" i="2"/>
  <c r="G109" i="2" s="1"/>
  <c r="C109" i="2"/>
  <c r="E108" i="2"/>
  <c r="G108" i="2" s="1"/>
  <c r="C108" i="2"/>
  <c r="E107" i="2"/>
  <c r="G107" i="2" s="1"/>
  <c r="C107" i="2"/>
  <c r="E106" i="2"/>
  <c r="C106" i="2"/>
  <c r="E105" i="2"/>
  <c r="C105" i="2"/>
  <c r="G85" i="2"/>
  <c r="G82" i="2"/>
  <c r="G64" i="2"/>
  <c r="G66" i="2"/>
  <c r="E89" i="2"/>
  <c r="G89" i="2" s="1"/>
  <c r="C89" i="2"/>
  <c r="E88" i="2"/>
  <c r="C88" i="2"/>
  <c r="E87" i="2"/>
  <c r="G87" i="2" s="1"/>
  <c r="C87" i="2"/>
  <c r="E86" i="2"/>
  <c r="G86" i="2" s="1"/>
  <c r="C86" i="2"/>
  <c r="E85" i="2"/>
  <c r="C85" i="2"/>
  <c r="E84" i="2"/>
  <c r="G84" i="2" s="1"/>
  <c r="C84" i="2"/>
  <c r="E83" i="2"/>
  <c r="C83" i="2"/>
  <c r="E82" i="2"/>
  <c r="C82" i="2"/>
  <c r="J64" i="2"/>
  <c r="J66" i="2"/>
  <c r="E68" i="2"/>
  <c r="E67" i="2"/>
  <c r="E66" i="2"/>
  <c r="E65" i="2"/>
  <c r="G65" i="2" s="1"/>
  <c r="J65" i="2" s="1"/>
  <c r="E64" i="2"/>
  <c r="E63" i="2"/>
  <c r="G63" i="2" s="1"/>
  <c r="J63" i="2" s="1"/>
  <c r="E62" i="2"/>
  <c r="E61" i="2"/>
  <c r="E47" i="2"/>
  <c r="E46" i="2"/>
  <c r="E45" i="2"/>
  <c r="G45" i="2" s="1"/>
  <c r="J45" i="2" s="1"/>
  <c r="E44" i="2"/>
  <c r="G44" i="2" s="1"/>
  <c r="J44" i="2" s="1"/>
  <c r="E43" i="2"/>
  <c r="G43" i="2" s="1"/>
  <c r="J43" i="2" s="1"/>
  <c r="E42" i="2"/>
  <c r="G42" i="2" s="1"/>
  <c r="J42" i="2" s="1"/>
  <c r="E41" i="2"/>
  <c r="E40" i="2"/>
  <c r="C68" i="2"/>
  <c r="C67" i="2"/>
  <c r="C66" i="2"/>
  <c r="C65" i="2"/>
  <c r="C64" i="2"/>
  <c r="C63" i="2"/>
  <c r="C62" i="2"/>
  <c r="C61" i="2"/>
  <c r="C47" i="2"/>
  <c r="C46" i="2"/>
  <c r="C45" i="2"/>
  <c r="C44" i="2"/>
  <c r="C43" i="2"/>
  <c r="C42" i="2"/>
  <c r="C41" i="2"/>
  <c r="C40" i="2"/>
  <c r="Q37" i="2"/>
  <c r="Q58" i="2" s="1"/>
  <c r="R46" i="2"/>
  <c r="R41" i="2"/>
  <c r="Q79" i="2" l="1"/>
  <c r="R63" i="2"/>
  <c r="R64" i="2"/>
  <c r="R65" i="2"/>
  <c r="R66" i="2"/>
  <c r="R68" i="2"/>
  <c r="R61" i="2"/>
  <c r="R40" i="2"/>
  <c r="R47" i="2"/>
  <c r="R45" i="2"/>
  <c r="R44" i="2"/>
  <c r="R43" i="2"/>
  <c r="R42" i="2"/>
  <c r="R83" i="2"/>
  <c r="R88" i="2"/>
  <c r="R105" i="2"/>
  <c r="R106" i="2"/>
  <c r="R107" i="2"/>
  <c r="R108" i="2"/>
  <c r="R109" i="2"/>
  <c r="R110" i="2"/>
  <c r="R111" i="2"/>
  <c r="R112" i="2"/>
  <c r="R67" i="2"/>
  <c r="G88" i="2"/>
  <c r="R62" i="2"/>
  <c r="G83" i="2"/>
  <c r="J83" i="2" s="1"/>
  <c r="J107" i="2"/>
  <c r="J108" i="2"/>
  <c r="J109" i="2"/>
  <c r="J110" i="2"/>
  <c r="J82" i="2"/>
  <c r="J84" i="2"/>
  <c r="J85" i="2"/>
  <c r="J86" i="2"/>
  <c r="J87" i="2"/>
  <c r="J88" i="2"/>
  <c r="A10" i="2"/>
  <c r="A8" i="2"/>
  <c r="A6" i="2"/>
  <c r="C25" i="2"/>
  <c r="O18" i="2"/>
  <c r="C22" i="2"/>
  <c r="L10" i="2"/>
  <c r="C13" i="2"/>
  <c r="L121" i="2" l="1"/>
  <c r="Q102" i="2"/>
  <c r="R84" i="2"/>
  <c r="R85" i="2"/>
  <c r="R86" i="2"/>
  <c r="R87" i="2"/>
  <c r="R89" i="2"/>
  <c r="R82" i="2"/>
  <c r="D135" i="2"/>
  <c r="N135" i="2" s="1"/>
  <c r="Q121" i="2"/>
  <c r="H135" i="2" s="1"/>
  <c r="P135" i="2" s="1"/>
  <c r="N110" i="2"/>
  <c r="L110" i="2"/>
  <c r="N109" i="2"/>
  <c r="L109" i="2"/>
  <c r="N108" i="2"/>
  <c r="L108" i="2"/>
  <c r="N107" i="2"/>
  <c r="L107" i="2"/>
  <c r="D77" i="2"/>
  <c r="D78" i="2" s="1"/>
  <c r="N88" i="2"/>
  <c r="L88" i="2"/>
  <c r="N87" i="2"/>
  <c r="L87" i="2"/>
  <c r="N86" i="2"/>
  <c r="L86" i="2"/>
  <c r="N85" i="2"/>
  <c r="L85" i="2"/>
  <c r="N84" i="2"/>
  <c r="L84" i="2"/>
  <c r="J89" i="2" s="1"/>
  <c r="N89" i="2" s="1"/>
  <c r="N83" i="2"/>
  <c r="L83" i="2"/>
  <c r="N82" i="2"/>
  <c r="L82" i="2"/>
  <c r="L36" i="2"/>
  <c r="L57" i="2"/>
  <c r="L37" i="2"/>
  <c r="L58" i="2" s="1"/>
  <c r="L78" i="2" s="1"/>
  <c r="L102" i="2" s="1"/>
  <c r="L101" i="2" s="1"/>
  <c r="N63" i="2"/>
  <c r="N64" i="2"/>
  <c r="N65" i="2"/>
  <c r="N66" i="2"/>
  <c r="L42" i="2"/>
  <c r="L43" i="2"/>
  <c r="L44" i="2"/>
  <c r="L45" i="2"/>
  <c r="L63" i="2"/>
  <c r="L64" i="2"/>
  <c r="L65" i="2"/>
  <c r="L66" i="2"/>
  <c r="N42" i="2"/>
  <c r="N43" i="2"/>
  <c r="N44" i="2"/>
  <c r="N45" i="2"/>
  <c r="C12" i="2"/>
  <c r="Q77" i="2" s="1"/>
  <c r="C30" i="2"/>
  <c r="C31" i="2" s="1"/>
  <c r="C26" i="2"/>
  <c r="U77" i="2" l="1"/>
  <c r="G112" i="2"/>
  <c r="J112" i="2" s="1"/>
  <c r="Q100" i="2"/>
  <c r="U100" i="2" s="1"/>
  <c r="Q101" i="2"/>
  <c r="G111" i="2"/>
  <c r="J111" i="2" s="1"/>
  <c r="G106" i="2"/>
  <c r="J106" i="2" s="1"/>
  <c r="G105" i="2"/>
  <c r="J105" i="2" s="1"/>
  <c r="G68" i="2"/>
  <c r="J68" i="2" s="1"/>
  <c r="G61" i="2"/>
  <c r="G62" i="2"/>
  <c r="J62" i="2" s="1"/>
  <c r="G67" i="2"/>
  <c r="J67" i="2" s="1"/>
  <c r="G47" i="2"/>
  <c r="G40" i="2"/>
  <c r="G41" i="2"/>
  <c r="J41" i="2" s="1"/>
  <c r="G46" i="2"/>
  <c r="J46" i="2" s="1"/>
  <c r="C32" i="2"/>
  <c r="H130" i="2" s="1"/>
  <c r="P130" i="2" s="1"/>
  <c r="D130" i="2"/>
  <c r="N130" i="2" s="1"/>
  <c r="Q78" i="2"/>
  <c r="L89" i="2"/>
  <c r="Q35" i="2"/>
  <c r="U35" i="2" s="1"/>
  <c r="P42" i="2" s="1"/>
  <c r="T42" i="2" s="1"/>
  <c r="Q56" i="2"/>
  <c r="J61" i="2"/>
  <c r="J47" i="2"/>
  <c r="J40" i="2"/>
  <c r="Q36" i="2"/>
  <c r="Q57" i="2"/>
  <c r="P43" i="2" l="1"/>
  <c r="T43" i="2" s="1"/>
  <c r="L46" i="2"/>
  <c r="N46" i="2"/>
  <c r="L41" i="2"/>
  <c r="N41" i="2"/>
  <c r="P41" i="2" s="1"/>
  <c r="T41" i="2" s="1"/>
  <c r="N67" i="2"/>
  <c r="L67" i="2"/>
  <c r="N62" i="2"/>
  <c r="L62" i="2"/>
  <c r="N105" i="2"/>
  <c r="L105" i="2"/>
  <c r="N106" i="2"/>
  <c r="L106" i="2"/>
  <c r="N111" i="2"/>
  <c r="L111" i="2"/>
  <c r="N112" i="2"/>
  <c r="L112" i="2"/>
  <c r="N40" i="2"/>
  <c r="P40" i="2" s="1"/>
  <c r="L40" i="2"/>
  <c r="N47" i="2"/>
  <c r="P47" i="2" s="1"/>
  <c r="L47" i="2"/>
  <c r="L61" i="2"/>
  <c r="N61" i="2"/>
  <c r="L68" i="2"/>
  <c r="N68" i="2"/>
  <c r="U56" i="2"/>
  <c r="P46" i="2"/>
  <c r="T46" i="2" s="1"/>
  <c r="P45" i="2"/>
  <c r="T45" i="2" s="1"/>
  <c r="P44" i="2"/>
  <c r="T44" i="2" s="1"/>
  <c r="P107" i="2" l="1"/>
  <c r="T107" i="2" s="1"/>
  <c r="P108" i="2"/>
  <c r="T108" i="2" s="1"/>
  <c r="P109" i="2"/>
  <c r="T109" i="2" s="1"/>
  <c r="P110" i="2"/>
  <c r="T110" i="2" s="1"/>
  <c r="P112" i="2"/>
  <c r="T112" i="2" s="1"/>
  <c r="P111" i="2"/>
  <c r="T111" i="2" s="1"/>
  <c r="P106" i="2"/>
  <c r="T106" i="2" s="1"/>
  <c r="P105" i="2"/>
  <c r="P82" i="2"/>
  <c r="P83" i="2"/>
  <c r="T83" i="2" s="1"/>
  <c r="P89" i="2"/>
  <c r="T89" i="2" s="1"/>
  <c r="P84" i="2"/>
  <c r="T84" i="2" s="1"/>
  <c r="P85" i="2"/>
  <c r="T85" i="2" s="1"/>
  <c r="P86" i="2"/>
  <c r="T86" i="2" s="1"/>
  <c r="P87" i="2"/>
  <c r="T87" i="2" s="1"/>
  <c r="P88" i="2"/>
  <c r="T88" i="2" s="1"/>
  <c r="P68" i="2"/>
  <c r="T68" i="2" s="1"/>
  <c r="P67" i="2"/>
  <c r="T67" i="2" s="1"/>
  <c r="P66" i="2"/>
  <c r="T66" i="2" s="1"/>
  <c r="P65" i="2"/>
  <c r="T65" i="2" s="1"/>
  <c r="P62" i="2"/>
  <c r="T62" i="2" s="1"/>
  <c r="P63" i="2"/>
  <c r="T63" i="2" s="1"/>
  <c r="P64" i="2"/>
  <c r="T64" i="2" s="1"/>
  <c r="P61" i="2"/>
  <c r="T40" i="2"/>
  <c r="L50" i="2"/>
  <c r="T47" i="2"/>
  <c r="L115" i="2" l="1"/>
  <c r="T105" i="2"/>
  <c r="T113" i="2" s="1"/>
  <c r="L116" i="2" s="1"/>
  <c r="Q50" i="2"/>
  <c r="H131" i="2" s="1"/>
  <c r="P131" i="2" s="1"/>
  <c r="D131" i="2"/>
  <c r="N131" i="2" s="1"/>
  <c r="T82" i="2"/>
  <c r="T90" i="2" s="1"/>
  <c r="L93" i="2" s="1"/>
  <c r="L92" i="2"/>
  <c r="T61" i="2"/>
  <c r="T69" i="2" s="1"/>
  <c r="L72" i="2" s="1"/>
  <c r="L71" i="2"/>
  <c r="T48" i="2"/>
  <c r="L51" i="2" s="1"/>
  <c r="Q116" i="2" l="1"/>
  <c r="J134" i="2" s="1"/>
  <c r="Q134" i="2" s="1"/>
  <c r="F134" i="2"/>
  <c r="O134" i="2" s="1"/>
  <c r="Q115" i="2"/>
  <c r="H134" i="2" s="1"/>
  <c r="P134" i="2" s="1"/>
  <c r="D134" i="2"/>
  <c r="N134" i="2" s="1"/>
  <c r="Q51" i="2"/>
  <c r="J131" i="2" s="1"/>
  <c r="Q131" i="2" s="1"/>
  <c r="F131" i="2"/>
  <c r="O131" i="2" s="1"/>
  <c r="Q71" i="2"/>
  <c r="H132" i="2" s="1"/>
  <c r="P132" i="2" s="1"/>
  <c r="D132" i="2"/>
  <c r="N132" i="2" s="1"/>
  <c r="Q72" i="2"/>
  <c r="J132" i="2" s="1"/>
  <c r="Q132" i="2" s="1"/>
  <c r="F132" i="2"/>
  <c r="O132" i="2" s="1"/>
  <c r="Q92" i="2"/>
  <c r="H133" i="2" s="1"/>
  <c r="P133" i="2" s="1"/>
  <c r="D133" i="2"/>
  <c r="N133" i="2" s="1"/>
  <c r="Q93" i="2"/>
  <c r="J133" i="2" s="1"/>
  <c r="Q133" i="2" s="1"/>
  <c r="F133" i="2"/>
  <c r="O133" i="2" s="1"/>
</calcChain>
</file>

<file path=xl/sharedStrings.xml><?xml version="1.0" encoding="utf-8"?>
<sst xmlns="http://schemas.openxmlformats.org/spreadsheetml/2006/main" count="352" uniqueCount="115">
  <si>
    <t>DATOS :</t>
  </si>
  <si>
    <t>ESTAS DISTANCIAS SON HASTA EL EJE DEL ACERO</t>
  </si>
  <si>
    <t xml:space="preserve">  b=</t>
  </si>
  <si>
    <t xml:space="preserve">  h=</t>
  </si>
  <si>
    <t>d'1=</t>
  </si>
  <si>
    <t>S'1=</t>
  </si>
  <si>
    <t>cm²</t>
  </si>
  <si>
    <t xml:space="preserve"> d=</t>
  </si>
  <si>
    <t>d'2=</t>
  </si>
  <si>
    <t>S'2=</t>
  </si>
  <si>
    <t>d'3=</t>
  </si>
  <si>
    <t>S'3=</t>
  </si>
  <si>
    <t>d'4=</t>
  </si>
  <si>
    <t>S'4=</t>
  </si>
  <si>
    <t>d4=</t>
  </si>
  <si>
    <t>d3=</t>
  </si>
  <si>
    <t>S4=</t>
  </si>
  <si>
    <t>d2=</t>
  </si>
  <si>
    <t>S3=</t>
  </si>
  <si>
    <t>d1=</t>
  </si>
  <si>
    <t>S2=</t>
  </si>
  <si>
    <t>AREA DE LA SECCION BRUTA (Ag)</t>
  </si>
  <si>
    <t>S1=</t>
  </si>
  <si>
    <t>Ag=</t>
  </si>
  <si>
    <t>AREA DE ACERO TOTAL (Ast)</t>
  </si>
  <si>
    <t>PONER EL AREA DEL ACERO SEGÚN CORRESPONDA</t>
  </si>
  <si>
    <t>Ast=</t>
  </si>
  <si>
    <t>YA SEA EN TRACCION O COMPRESION As  ó A's</t>
  </si>
  <si>
    <t>ρ =</t>
  </si>
  <si>
    <r>
      <t>ε</t>
    </r>
    <r>
      <rPr>
        <b/>
        <sz val="10"/>
        <color theme="1"/>
        <rFont val="Calibri"/>
        <family val="2"/>
      </rPr>
      <t xml:space="preserve">cu </t>
    </r>
    <r>
      <rPr>
        <b/>
        <sz val="14"/>
        <color theme="1"/>
        <rFont val="Calibri"/>
        <family val="2"/>
      </rPr>
      <t>=</t>
    </r>
  </si>
  <si>
    <r>
      <t>ε</t>
    </r>
    <r>
      <rPr>
        <b/>
        <sz val="10"/>
        <color theme="1"/>
        <rFont val="Calibri"/>
        <family val="2"/>
      </rPr>
      <t>y</t>
    </r>
    <r>
      <rPr>
        <b/>
        <sz val="14"/>
        <color theme="1"/>
        <rFont val="Calibri"/>
        <family val="2"/>
      </rPr>
      <t xml:space="preserve"> =</t>
    </r>
  </si>
  <si>
    <t>β1 =</t>
  </si>
  <si>
    <r>
      <t>ε</t>
    </r>
    <r>
      <rPr>
        <b/>
        <sz val="10"/>
        <color theme="1"/>
        <rFont val="Calibri"/>
        <family val="2"/>
      </rPr>
      <t xml:space="preserve">S </t>
    </r>
    <r>
      <rPr>
        <b/>
        <sz val="14"/>
        <color theme="1"/>
        <rFont val="Calibri"/>
        <family val="2"/>
      </rPr>
      <t xml:space="preserve">= </t>
    </r>
    <r>
      <rPr>
        <b/>
        <sz val="10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 xml:space="preserve"> </t>
    </r>
  </si>
  <si>
    <t xml:space="preserve"> (ø)=</t>
  </si>
  <si>
    <t>ANALISIS DEL 1ER PUNTO</t>
  </si>
  <si>
    <t>Po</t>
  </si>
  <si>
    <t>Ton</t>
  </si>
  <si>
    <t>Pn</t>
  </si>
  <si>
    <t>Pu</t>
  </si>
  <si>
    <t>Mu</t>
  </si>
  <si>
    <t>Ton_m</t>
  </si>
  <si>
    <t>ANALISIS DEL 2DO PUNTO</t>
  </si>
  <si>
    <t>α</t>
  </si>
  <si>
    <t>cj</t>
  </si>
  <si>
    <t>d</t>
  </si>
  <si>
    <t>a</t>
  </si>
  <si>
    <t>Cc</t>
  </si>
  <si>
    <t>COMPRESION PURA</t>
  </si>
  <si>
    <t>di (cm)</t>
  </si>
  <si>
    <t>AREA(cm²)</t>
  </si>
  <si>
    <t>εSi</t>
  </si>
  <si>
    <t>fSi</t>
  </si>
  <si>
    <t xml:space="preserve">fS'1 </t>
  </si>
  <si>
    <t xml:space="preserve">fS'2 </t>
  </si>
  <si>
    <t xml:space="preserve">fS'3 </t>
  </si>
  <si>
    <t>fS' 4</t>
  </si>
  <si>
    <t>fS4</t>
  </si>
  <si>
    <t>fS3</t>
  </si>
  <si>
    <t>fS2</t>
  </si>
  <si>
    <t>fS1</t>
  </si>
  <si>
    <t>Cp</t>
  </si>
  <si>
    <t>Brazo</t>
  </si>
  <si>
    <t>Fsi*Brazo</t>
  </si>
  <si>
    <t>Mn</t>
  </si>
  <si>
    <t>Kg</t>
  </si>
  <si>
    <t>ANALISIS DEL 3ER PUNTO</t>
  </si>
  <si>
    <t>FALLA BALANCEADA</t>
  </si>
  <si>
    <t>Fsi(Kg)</t>
  </si>
  <si>
    <t>cm</t>
  </si>
  <si>
    <t>εS' 4</t>
  </si>
  <si>
    <t>εS'2</t>
  </si>
  <si>
    <t>εS'3</t>
  </si>
  <si>
    <t xml:space="preserve">εS4 </t>
  </si>
  <si>
    <t xml:space="preserve">εS2 </t>
  </si>
  <si>
    <t>εS1</t>
  </si>
  <si>
    <t>εS'1</t>
  </si>
  <si>
    <t xml:space="preserve">εS3 </t>
  </si>
  <si>
    <t>ANALISIS DEL 4TO PUNTO</t>
  </si>
  <si>
    <t>øPn</t>
  </si>
  <si>
    <t>ANALISIS DEL 5TO PUNTO</t>
  </si>
  <si>
    <t>FLEXION PURA</t>
  </si>
  <si>
    <t>TRACCION PURA</t>
  </si>
  <si>
    <t>RESUMEN DE RESULTADOS</t>
  </si>
  <si>
    <t xml:space="preserve">MOMENTOS Y FUERZA AXIALES ANALISIS SAP2000 </t>
  </si>
  <si>
    <t>ABAJO</t>
  </si>
  <si>
    <t>ARRIBA</t>
  </si>
  <si>
    <t>MUERTA</t>
  </si>
  <si>
    <t>VIVA1</t>
  </si>
  <si>
    <t>VIVA2</t>
  </si>
  <si>
    <t>SISMO</t>
  </si>
  <si>
    <t>MOMENTOS</t>
  </si>
  <si>
    <t>AXIAL</t>
  </si>
  <si>
    <t>ALTURA</t>
  </si>
  <si>
    <t>m</t>
  </si>
  <si>
    <t>Ec=</t>
  </si>
  <si>
    <t>kg/cm2</t>
  </si>
  <si>
    <t>M3 abajo</t>
  </si>
  <si>
    <t>M3 arriba</t>
  </si>
  <si>
    <t>Cm</t>
  </si>
  <si>
    <t>Pc</t>
  </si>
  <si>
    <t>δns</t>
  </si>
  <si>
    <t>COMB1</t>
  </si>
  <si>
    <t>COMB2</t>
  </si>
  <si>
    <t>COMB3</t>
  </si>
  <si>
    <t>COMB4</t>
  </si>
  <si>
    <t>COMB5</t>
  </si>
  <si>
    <t>COMB6</t>
  </si>
  <si>
    <t>COMB7</t>
  </si>
  <si>
    <t>COMB8</t>
  </si>
  <si>
    <t>COMB9</t>
  </si>
  <si>
    <t>COMB10</t>
  </si>
  <si>
    <t>COMB11</t>
  </si>
  <si>
    <t>CONSTRUCCION DE UN DIAGRAMA DE ITERACCION PARA COLUMNAS</t>
  </si>
  <si>
    <t>f'c =</t>
  </si>
  <si>
    <t>fy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</si>
</sst>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00"/>
    <numFmt numFmtId="165" formatCode="0.0000"/>
    <numFmt numFmtId="166" formatCode="_-* #,##0_-;\-* #,##0_-;_-* &quot;-&quot;??_-;_-@_-"/>
  </numFmts>
  <fonts count="33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b/>
      <sz val="12"/>
      <color theme="1"/>
      <name val="Calibri"/>
      <family val="2"/>
    </font>
    <font>
      <b/>
      <sz val="12"/>
      <color rgb="FFFF0000"/>
      <name val="Arial"/>
      <family val="2"/>
    </font>
    <font>
      <b/>
      <sz val="9"/>
      <color rgb="FF0000FF"/>
      <name val="Arial"/>
      <family val="2"/>
    </font>
    <font>
      <b/>
      <sz val="8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/>
      <sz val="9"/>
      <color rgb="FFFF0000"/>
      <name val="Arial"/>
      <family val="2"/>
    </font>
    <font>
      <b/>
      <sz val="11"/>
      <color rgb="FF0000FF"/>
      <name val="Arial"/>
      <family val="2"/>
    </font>
    <font>
      <sz val="9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FF0000"/>
      </right>
      <top style="thin">
        <color indexed="64"/>
      </top>
      <bottom/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96">
    <xf numFmtId="0" fontId="0" fillId="0" borderId="0" xfId="0"/>
    <xf numFmtId="0" fontId="3" fillId="0" borderId="1" xfId="1" applyBorder="1" applyAlignment="1">
      <alignment horizontal="center"/>
    </xf>
    <xf numFmtId="0" fontId="3" fillId="0" borderId="0" xfId="1" applyBorder="1" applyAlignment="1">
      <alignment horizontal="center"/>
    </xf>
    <xf numFmtId="0" fontId="3" fillId="0" borderId="0" xfId="2" applyBorder="1"/>
    <xf numFmtId="0" fontId="3" fillId="0" borderId="2" xfId="3" applyBorder="1"/>
    <xf numFmtId="2" fontId="3" fillId="0" borderId="3" xfId="3" applyNumberFormat="1" applyBorder="1"/>
    <xf numFmtId="0" fontId="3" fillId="0" borderId="0" xfId="3" applyBorder="1"/>
    <xf numFmtId="0" fontId="3" fillId="0" borderId="4" xfId="3" applyBorder="1"/>
    <xf numFmtId="2" fontId="3" fillId="0" borderId="4" xfId="3" applyNumberFormat="1" applyBorder="1"/>
    <xf numFmtId="0" fontId="4" fillId="2" borderId="0" xfId="0" applyFont="1" applyFill="1" applyBorder="1"/>
    <xf numFmtId="0" fontId="7" fillId="2" borderId="0" xfId="4" applyFont="1" applyFill="1" applyBorder="1" applyAlignment="1">
      <alignment wrapText="1"/>
    </xf>
    <xf numFmtId="0" fontId="8" fillId="4" borderId="5" xfId="4" applyFont="1" applyFill="1" applyBorder="1" applyAlignment="1">
      <alignment vertical="top"/>
    </xf>
    <xf numFmtId="0" fontId="9" fillId="2" borderId="6" xfId="0" applyFont="1" applyFill="1" applyBorder="1" applyAlignment="1">
      <alignment horizontal="left"/>
    </xf>
    <xf numFmtId="0" fontId="10" fillId="2" borderId="0" xfId="4" applyFont="1" applyFill="1" applyBorder="1" applyAlignment="1">
      <alignment vertical="top"/>
    </xf>
    <xf numFmtId="164" fontId="5" fillId="2" borderId="0" xfId="4" applyNumberFormat="1" applyFont="1" applyFill="1" applyBorder="1" applyAlignment="1">
      <alignment horizontal="center" vertical="center"/>
    </xf>
    <xf numFmtId="0" fontId="12" fillId="2" borderId="6" xfId="5" applyFont="1" applyFill="1" applyBorder="1" applyAlignment="1" applyProtection="1">
      <alignment horizontal="left"/>
      <protection hidden="1"/>
    </xf>
    <xf numFmtId="0" fontId="8" fillId="2" borderId="5" xfId="4" applyFont="1" applyFill="1" applyBorder="1" applyAlignment="1">
      <alignment vertical="top"/>
    </xf>
    <xf numFmtId="0" fontId="5" fillId="2" borderId="0" xfId="4" applyFont="1" applyFill="1" applyBorder="1"/>
    <xf numFmtId="0" fontId="5" fillId="0" borderId="0" xfId="4" applyFont="1" applyBorder="1"/>
    <xf numFmtId="0" fontId="11" fillId="2" borderId="0" xfId="5" applyFill="1" applyBorder="1" applyProtection="1">
      <protection hidden="1"/>
    </xf>
    <xf numFmtId="0" fontId="13" fillId="4" borderId="5" xfId="0" applyFont="1" applyFill="1" applyBorder="1"/>
    <xf numFmtId="0" fontId="10" fillId="2" borderId="0" xfId="4" applyFont="1" applyFill="1" applyBorder="1"/>
    <xf numFmtId="1" fontId="15" fillId="2" borderId="0" xfId="5" applyNumberFormat="1" applyFont="1" applyFill="1" applyBorder="1" applyAlignment="1" applyProtection="1">
      <alignment horizontal="center"/>
      <protection hidden="1"/>
    </xf>
    <xf numFmtId="0" fontId="16" fillId="2" borderId="0" xfId="0" applyFont="1" applyFill="1" applyBorder="1" applyAlignment="1"/>
    <xf numFmtId="164" fontId="5" fillId="2" borderId="0" xfId="4" applyNumberFormat="1" applyFont="1" applyFill="1" applyBorder="1" applyAlignment="1">
      <alignment horizontal="left"/>
    </xf>
    <xf numFmtId="0" fontId="16" fillId="2" borderId="0" xfId="0" applyFont="1" applyFill="1" applyBorder="1"/>
    <xf numFmtId="0" fontId="5" fillId="2" borderId="0" xfId="4" applyFont="1" applyFill="1" applyBorder="1" applyAlignment="1"/>
    <xf numFmtId="0" fontId="12" fillId="2" borderId="7" xfId="5" applyFont="1" applyFill="1" applyBorder="1" applyAlignment="1" applyProtection="1">
      <alignment horizontal="left"/>
      <protection hidden="1"/>
    </xf>
    <xf numFmtId="0" fontId="4" fillId="2" borderId="0" xfId="0" applyFont="1" applyFill="1" applyBorder="1" applyAlignment="1"/>
    <xf numFmtId="0" fontId="17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0" fillId="2" borderId="0" xfId="0" applyFont="1" applyFill="1" applyBorder="1"/>
    <xf numFmtId="1" fontId="18" fillId="2" borderId="0" xfId="0" applyNumberFormat="1" applyFont="1" applyFill="1" applyBorder="1" applyAlignment="1"/>
    <xf numFmtId="0" fontId="19" fillId="2" borderId="0" xfId="0" applyFont="1" applyFill="1" applyBorder="1"/>
    <xf numFmtId="0" fontId="21" fillId="2" borderId="0" xfId="6" applyFont="1" applyFill="1" applyBorder="1"/>
    <xf numFmtId="0" fontId="8" fillId="2" borderId="0" xfId="7" applyFont="1" applyFill="1" applyBorder="1" applyAlignment="1">
      <alignment horizontal="center"/>
    </xf>
    <xf numFmtId="0" fontId="21" fillId="2" borderId="0" xfId="8" applyFont="1" applyFill="1" applyBorder="1"/>
    <xf numFmtId="0" fontId="8" fillId="2" borderId="0" xfId="9" applyFont="1" applyFill="1" applyBorder="1" applyAlignment="1">
      <alignment horizontal="center"/>
    </xf>
    <xf numFmtId="0" fontId="22" fillId="0" borderId="0" xfId="0" applyFont="1" applyBorder="1"/>
    <xf numFmtId="0" fontId="0" fillId="3" borderId="5" xfId="0" applyFill="1" applyBorder="1"/>
    <xf numFmtId="0" fontId="26" fillId="2" borderId="0" xfId="0" applyFont="1" applyFill="1" applyBorder="1"/>
    <xf numFmtId="0" fontId="28" fillId="2" borderId="0" xfId="5" applyFont="1" applyFill="1" applyBorder="1" applyProtection="1">
      <protection hidden="1"/>
    </xf>
    <xf numFmtId="0" fontId="2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right"/>
    </xf>
    <xf numFmtId="0" fontId="23" fillId="2" borderId="0" xfId="0" applyFont="1" applyFill="1" applyBorder="1"/>
    <xf numFmtId="0" fontId="23" fillId="0" borderId="0" xfId="0" applyFont="1" applyBorder="1"/>
    <xf numFmtId="0" fontId="26" fillId="0" borderId="5" xfId="0" applyFont="1" applyBorder="1"/>
    <xf numFmtId="0" fontId="23" fillId="3" borderId="5" xfId="0" applyFont="1" applyFill="1" applyBorder="1"/>
    <xf numFmtId="0" fontId="26" fillId="3" borderId="5" xfId="0" applyFont="1" applyFill="1" applyBorder="1"/>
    <xf numFmtId="0" fontId="0" fillId="0" borderId="5" xfId="0" applyBorder="1"/>
    <xf numFmtId="0" fontId="26" fillId="2" borderId="14" xfId="0" applyFont="1" applyFill="1" applyBorder="1"/>
    <xf numFmtId="0" fontId="23" fillId="2" borderId="15" xfId="0" applyFont="1" applyFill="1" applyBorder="1"/>
    <xf numFmtId="0" fontId="26" fillId="2" borderId="16" xfId="0" applyFont="1" applyFill="1" applyBorder="1"/>
    <xf numFmtId="0" fontId="23" fillId="2" borderId="17" xfId="0" applyFont="1" applyFill="1" applyBorder="1"/>
    <xf numFmtId="0" fontId="26" fillId="2" borderId="18" xfId="0" applyFont="1" applyFill="1" applyBorder="1"/>
    <xf numFmtId="0" fontId="23" fillId="2" borderId="19" xfId="0" applyFont="1" applyFill="1" applyBorder="1"/>
    <xf numFmtId="0" fontId="14" fillId="2" borderId="13" xfId="0" applyFont="1" applyFill="1" applyBorder="1"/>
    <xf numFmtId="0" fontId="26" fillId="2" borderId="14" xfId="0" applyFont="1" applyFill="1" applyBorder="1" applyAlignment="1">
      <alignment horizontal="right"/>
    </xf>
    <xf numFmtId="0" fontId="26" fillId="2" borderId="16" xfId="0" applyFont="1" applyFill="1" applyBorder="1" applyAlignment="1">
      <alignment horizontal="right"/>
    </xf>
    <xf numFmtId="0" fontId="26" fillId="2" borderId="18" xfId="0" applyFont="1" applyFill="1" applyBorder="1" applyAlignment="1">
      <alignment horizontal="right"/>
    </xf>
    <xf numFmtId="0" fontId="14" fillId="2" borderId="14" xfId="0" applyFont="1" applyFill="1" applyBorder="1"/>
    <xf numFmtId="0" fontId="16" fillId="0" borderId="20" xfId="0" applyFont="1" applyBorder="1"/>
    <xf numFmtId="0" fontId="14" fillId="2" borderId="16" xfId="0" applyFont="1" applyFill="1" applyBorder="1"/>
    <xf numFmtId="0" fontId="14" fillId="2" borderId="18" xfId="0" applyFont="1" applyFill="1" applyBorder="1"/>
    <xf numFmtId="0" fontId="16" fillId="0" borderId="21" xfId="0" applyFont="1" applyBorder="1"/>
    <xf numFmtId="0" fontId="0" fillId="0" borderId="21" xfId="0" applyBorder="1"/>
    <xf numFmtId="0" fontId="20" fillId="0" borderId="27" xfId="0" applyFont="1" applyBorder="1"/>
    <xf numFmtId="0" fontId="0" fillId="0" borderId="27" xfId="0" applyBorder="1"/>
    <xf numFmtId="0" fontId="26" fillId="0" borderId="0" xfId="0" applyFont="1" applyBorder="1"/>
    <xf numFmtId="0" fontId="14" fillId="2" borderId="30" xfId="0" applyFont="1" applyFill="1" applyBorder="1"/>
    <xf numFmtId="0" fontId="14" fillId="2" borderId="31" xfId="0" applyFont="1" applyFill="1" applyBorder="1"/>
    <xf numFmtId="0" fontId="0" fillId="0" borderId="32" xfId="0" applyBorder="1"/>
    <xf numFmtId="0" fontId="23" fillId="0" borderId="5" xfId="0" applyFont="1" applyBorder="1"/>
    <xf numFmtId="0" fontId="26" fillId="3" borderId="22" xfId="0" applyFont="1" applyFill="1" applyBorder="1"/>
    <xf numFmtId="0" fontId="26" fillId="3" borderId="35" xfId="0" applyFont="1" applyFill="1" applyBorder="1"/>
    <xf numFmtId="0" fontId="26" fillId="0" borderId="35" xfId="0" applyFont="1" applyBorder="1"/>
    <xf numFmtId="0" fontId="0" fillId="9" borderId="5" xfId="0" applyFill="1" applyBorder="1"/>
    <xf numFmtId="0" fontId="0" fillId="11" borderId="0" xfId="0" applyFill="1"/>
    <xf numFmtId="0" fontId="23" fillId="0" borderId="21" xfId="0" applyFont="1" applyBorder="1"/>
    <xf numFmtId="0" fontId="23" fillId="0" borderId="20" xfId="0" applyFont="1" applyBorder="1"/>
    <xf numFmtId="0" fontId="16" fillId="0" borderId="22" xfId="0" applyFont="1" applyBorder="1"/>
    <xf numFmtId="0" fontId="16" fillId="2" borderId="0" xfId="0" applyFont="1" applyFill="1"/>
    <xf numFmtId="0" fontId="0" fillId="0" borderId="22" xfId="0" applyBorder="1"/>
    <xf numFmtId="0" fontId="0" fillId="0" borderId="0" xfId="0"/>
    <xf numFmtId="0" fontId="0" fillId="2" borderId="0" xfId="0" applyFill="1" applyBorder="1"/>
    <xf numFmtId="0" fontId="0" fillId="0" borderId="0" xfId="0" applyBorder="1"/>
    <xf numFmtId="2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/>
    <xf numFmtId="2" fontId="31" fillId="0" borderId="0" xfId="0" applyNumberFormat="1" applyFont="1"/>
    <xf numFmtId="0" fontId="15" fillId="0" borderId="39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Border="1"/>
    <xf numFmtId="2" fontId="0" fillId="0" borderId="4" xfId="0" applyNumberFormat="1" applyBorder="1"/>
    <xf numFmtId="2" fontId="0" fillId="0" borderId="40" xfId="0" applyNumberFormat="1" applyBorder="1"/>
    <xf numFmtId="2" fontId="0" fillId="0" borderId="41" xfId="0" applyNumberFormat="1" applyBorder="1"/>
    <xf numFmtId="2" fontId="0" fillId="0" borderId="42" xfId="0" applyNumberFormat="1" applyBorder="1"/>
    <xf numFmtId="0" fontId="0" fillId="0" borderId="1" xfId="0" applyBorder="1"/>
    <xf numFmtId="2" fontId="0" fillId="12" borderId="5" xfId="0" applyNumberFormat="1" applyFill="1" applyBorder="1" applyProtection="1">
      <protection locked="0"/>
    </xf>
    <xf numFmtId="166" fontId="0" fillId="12" borderId="5" xfId="10" applyNumberFormat="1" applyFont="1" applyFill="1" applyBorder="1" applyProtection="1">
      <protection locked="0"/>
    </xf>
    <xf numFmtId="0" fontId="0" fillId="13" borderId="0" xfId="0" applyFill="1" applyAlignment="1">
      <alignment horizontal="left"/>
    </xf>
    <xf numFmtId="2" fontId="0" fillId="13" borderId="0" xfId="0" applyNumberFormat="1" applyFill="1"/>
    <xf numFmtId="0" fontId="16" fillId="0" borderId="5" xfId="0" applyFont="1" applyBorder="1"/>
    <xf numFmtId="0" fontId="25" fillId="0" borderId="0" xfId="0" applyFont="1" applyBorder="1"/>
    <xf numFmtId="0" fontId="32" fillId="0" borderId="0" xfId="0" applyFont="1" applyBorder="1"/>
    <xf numFmtId="0" fontId="23" fillId="2" borderId="17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0" fillId="0" borderId="29" xfId="0" applyBorder="1"/>
    <xf numFmtId="164" fontId="3" fillId="2" borderId="22" xfId="4" applyNumberFormat="1" applyFill="1" applyBorder="1" applyAlignment="1">
      <alignment horizontal="center" vertical="center"/>
    </xf>
    <xf numFmtId="0" fontId="3" fillId="2" borderId="35" xfId="4" applyFont="1" applyFill="1" applyBorder="1" applyAlignment="1">
      <alignment vertical="top"/>
    </xf>
    <xf numFmtId="0" fontId="17" fillId="10" borderId="5" xfId="0" applyFont="1" applyFill="1" applyBorder="1"/>
    <xf numFmtId="0" fontId="8" fillId="10" borderId="5" xfId="4" applyFont="1" applyFill="1" applyBorder="1" applyAlignment="1">
      <alignment vertical="top"/>
    </xf>
    <xf numFmtId="0" fontId="1" fillId="2" borderId="0" xfId="0" applyFont="1" applyFill="1" applyBorder="1"/>
    <xf numFmtId="0" fontId="25" fillId="2" borderId="0" xfId="0" applyFont="1" applyFill="1" applyBorder="1"/>
    <xf numFmtId="0" fontId="2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2" fillId="2" borderId="0" xfId="0" applyFont="1" applyFill="1" applyBorder="1"/>
    <xf numFmtId="0" fontId="0" fillId="14" borderId="0" xfId="0" applyFill="1"/>
    <xf numFmtId="0" fontId="3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22" fillId="10" borderId="36" xfId="0" applyFont="1" applyFill="1" applyBorder="1" applyAlignment="1">
      <alignment horizontal="center"/>
    </xf>
    <xf numFmtId="0" fontId="22" fillId="10" borderId="37" xfId="0" applyFont="1" applyFill="1" applyBorder="1" applyAlignment="1">
      <alignment horizontal="center"/>
    </xf>
    <xf numFmtId="0" fontId="22" fillId="10" borderId="38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2" fillId="7" borderId="0" xfId="0" applyFont="1" applyFill="1" applyBorder="1" applyAlignment="1">
      <alignment horizontal="center"/>
    </xf>
    <xf numFmtId="0" fontId="19" fillId="9" borderId="5" xfId="0" applyFont="1" applyFill="1" applyBorder="1" applyAlignment="1">
      <alignment horizontal="center"/>
    </xf>
    <xf numFmtId="0" fontId="30" fillId="9" borderId="5" xfId="0" applyFont="1" applyFill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0" fillId="0" borderId="29" xfId="0" applyBorder="1"/>
    <xf numFmtId="0" fontId="19" fillId="10" borderId="5" xfId="0" applyFont="1" applyFill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29" fillId="8" borderId="5" xfId="0" applyNumberFormat="1" applyFont="1" applyFill="1" applyBorder="1" applyAlignment="1">
      <alignment horizontal="center"/>
    </xf>
    <xf numFmtId="0" fontId="29" fillId="8" borderId="5" xfId="0" applyFont="1" applyFill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1" fillId="10" borderId="33" xfId="0" applyFont="1" applyFill="1" applyBorder="1" applyAlignment="1">
      <alignment horizontal="center"/>
    </xf>
    <xf numFmtId="0" fontId="21" fillId="10" borderId="34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10" borderId="35" xfId="0" applyFont="1" applyFill="1" applyBorder="1" applyAlignment="1">
      <alignment horizontal="center"/>
    </xf>
    <xf numFmtId="0" fontId="23" fillId="9" borderId="5" xfId="0" applyFont="1" applyFill="1" applyBorder="1" applyAlignment="1">
      <alignment horizontal="center"/>
    </xf>
    <xf numFmtId="0" fontId="23" fillId="9" borderId="8" xfId="0" applyFont="1" applyFill="1" applyBorder="1" applyAlignment="1">
      <alignment horizontal="center"/>
    </xf>
    <xf numFmtId="0" fontId="23" fillId="9" borderId="9" xfId="0" applyFont="1" applyFill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3" fillId="2" borderId="17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/>
    </xf>
    <xf numFmtId="0" fontId="23" fillId="9" borderId="0" xfId="0" applyFont="1" applyFill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12" fillId="2" borderId="0" xfId="5" applyFont="1" applyFill="1" applyBorder="1" applyAlignment="1" applyProtection="1">
      <alignment horizontal="left"/>
      <protection hidden="1"/>
    </xf>
    <xf numFmtId="1" fontId="3" fillId="5" borderId="5" xfId="4" applyNumberFormat="1" applyFill="1" applyBorder="1" applyAlignment="1">
      <alignment horizontal="center" vertical="center"/>
    </xf>
    <xf numFmtId="164" fontId="3" fillId="5" borderId="5" xfId="4" applyNumberFormat="1" applyFill="1" applyBorder="1" applyAlignment="1">
      <alignment horizontal="center" vertical="center"/>
    </xf>
    <xf numFmtId="165" fontId="3" fillId="5" borderId="5" xfId="4" applyNumberFormat="1" applyFill="1" applyBorder="1" applyAlignment="1">
      <alignment horizontal="center" vertical="center"/>
    </xf>
    <xf numFmtId="2" fontId="16" fillId="6" borderId="5" xfId="0" applyNumberFormat="1" applyFont="1" applyFill="1" applyBorder="1" applyAlignment="1">
      <alignment horizontal="center"/>
    </xf>
    <xf numFmtId="10" fontId="16" fillId="2" borderId="0" xfId="0" applyNumberFormat="1" applyFont="1" applyFill="1" applyBorder="1" applyAlignment="1">
      <alignment horizontal="center"/>
    </xf>
    <xf numFmtId="2" fontId="16" fillId="2" borderId="0" xfId="0" applyNumberFormat="1" applyFont="1" applyFill="1" applyBorder="1" applyAlignment="1">
      <alignment horizontal="center"/>
    </xf>
    <xf numFmtId="2" fontId="16" fillId="8" borderId="5" xfId="0" applyNumberFormat="1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 wrapText="1"/>
    </xf>
    <xf numFmtId="0" fontId="6" fillId="3" borderId="0" xfId="4" applyFont="1" applyFill="1" applyBorder="1" applyAlignment="1">
      <alignment horizontal="center" wrapText="1"/>
    </xf>
    <xf numFmtId="0" fontId="23" fillId="2" borderId="20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</cellXfs>
  <cellStyles count="36">
    <cellStyle name="Millares" xfId="10" builtinId="3"/>
    <cellStyle name="Millares 5 2" xfId="12"/>
    <cellStyle name="Normal" xfId="0" builtinId="0"/>
    <cellStyle name="Normal 10" xfId="7"/>
    <cellStyle name="Normal 2" xfId="4"/>
    <cellStyle name="Normal 2 2" xfId="14"/>
    <cellStyle name="Normal 2 3" xfId="19"/>
    <cellStyle name="Normal 2 4" xfId="24"/>
    <cellStyle name="Normal 2 5" xfId="30"/>
    <cellStyle name="Normal 3" xfId="5"/>
    <cellStyle name="Normal 3 2" xfId="15"/>
    <cellStyle name="Normal 3 3" xfId="20"/>
    <cellStyle name="Normal 3 4" xfId="25"/>
    <cellStyle name="Normal 3 5" xfId="31"/>
    <cellStyle name="Normal 4" xfId="1"/>
    <cellStyle name="Normal 4 2" xfId="11"/>
    <cellStyle name="Normal 4 3" xfId="16"/>
    <cellStyle name="Normal 4 4" xfId="21"/>
    <cellStyle name="Normal 4 5" xfId="26"/>
    <cellStyle name="Normal 4 6" xfId="32"/>
    <cellStyle name="Normal 5" xfId="3"/>
    <cellStyle name="Normal 5 2" xfId="17"/>
    <cellStyle name="Normal 5 3" xfId="22"/>
    <cellStyle name="Normal 5 4" xfId="27"/>
    <cellStyle name="Normal 5 5" xfId="33"/>
    <cellStyle name="Normal 6" xfId="2"/>
    <cellStyle name="Normal 6 2" xfId="13"/>
    <cellStyle name="Normal 6 3" xfId="18"/>
    <cellStyle name="Normal 6 4" xfId="8"/>
    <cellStyle name="Normal 6 5" xfId="28"/>
    <cellStyle name="Normal 6 6" xfId="34"/>
    <cellStyle name="Normal 7 2" xfId="6"/>
    <cellStyle name="Normal 7 3" xfId="23"/>
    <cellStyle name="Normal 7 4" xfId="29"/>
    <cellStyle name="Normal 7 5" xfId="35"/>
    <cellStyle name="Normal 9" xfId="9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2400">
                <a:solidFill>
                  <a:srgbClr val="92D050"/>
                </a:solidFill>
              </a:rPr>
              <a:t>DIAGRAMA DE ITERACCION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NOMINAL</c:v>
          </c:tx>
          <c:marker>
            <c:symbol val="none"/>
          </c:marker>
          <c:xVal>
            <c:numRef>
              <c:f>'CONSTRUCCION DEL DIAGRAMA'!$O$130:$O$135</c:f>
              <c:numCache>
                <c:formatCode>General</c:formatCode>
                <c:ptCount val="6"/>
                <c:pt idx="0">
                  <c:v>0</c:v>
                </c:pt>
                <c:pt idx="1">
                  <c:v>32.47</c:v>
                </c:pt>
                <c:pt idx="2">
                  <c:v>49.86</c:v>
                </c:pt>
                <c:pt idx="3">
                  <c:v>43.33</c:v>
                </c:pt>
                <c:pt idx="4">
                  <c:v>34.68</c:v>
                </c:pt>
                <c:pt idx="5">
                  <c:v>0</c:v>
                </c:pt>
              </c:numCache>
            </c:numRef>
          </c:xVal>
          <c:yVal>
            <c:numRef>
              <c:f>'CONSTRUCCION DEL DIAGRAMA'!$N$130:$N$135</c:f>
              <c:numCache>
                <c:formatCode>General</c:formatCode>
                <c:ptCount val="6"/>
                <c:pt idx="0">
                  <c:v>497.35</c:v>
                </c:pt>
                <c:pt idx="1">
                  <c:v>397.51</c:v>
                </c:pt>
                <c:pt idx="2">
                  <c:v>161.84</c:v>
                </c:pt>
                <c:pt idx="3">
                  <c:v>64.05</c:v>
                </c:pt>
                <c:pt idx="4">
                  <c:v>0.08</c:v>
                </c:pt>
                <c:pt idx="5">
                  <c:v>-255.36</c:v>
                </c:pt>
              </c:numCache>
            </c:numRef>
          </c:yVal>
          <c:smooth val="1"/>
        </c:ser>
        <c:ser>
          <c:idx val="1"/>
          <c:order val="1"/>
          <c:tx>
            <c:v>DISEÑO</c:v>
          </c:tx>
          <c:marker>
            <c:symbol val="none"/>
          </c:marker>
          <c:xVal>
            <c:numRef>
              <c:f>'CONSTRUCCION DEL DIAGRAMA'!$Q$130:$Q$135</c:f>
              <c:numCache>
                <c:formatCode>General</c:formatCode>
                <c:ptCount val="6"/>
                <c:pt idx="0">
                  <c:v>0</c:v>
                </c:pt>
                <c:pt idx="1">
                  <c:v>22.73</c:v>
                </c:pt>
                <c:pt idx="2">
                  <c:v>34.9</c:v>
                </c:pt>
                <c:pt idx="3">
                  <c:v>30.33</c:v>
                </c:pt>
                <c:pt idx="4">
                  <c:v>31.21</c:v>
                </c:pt>
                <c:pt idx="5">
                  <c:v>0</c:v>
                </c:pt>
              </c:numCache>
            </c:numRef>
          </c:xVal>
          <c:yVal>
            <c:numRef>
              <c:f>'CONSTRUCCION DEL DIAGRAMA'!$P$130:$P$135</c:f>
              <c:numCache>
                <c:formatCode>General</c:formatCode>
                <c:ptCount val="6"/>
                <c:pt idx="0">
                  <c:v>348.15</c:v>
                </c:pt>
                <c:pt idx="1">
                  <c:v>278.26</c:v>
                </c:pt>
                <c:pt idx="2">
                  <c:v>113.29</c:v>
                </c:pt>
                <c:pt idx="3">
                  <c:v>44.84</c:v>
                </c:pt>
                <c:pt idx="4">
                  <c:v>7.0000000000000007E-2</c:v>
                </c:pt>
                <c:pt idx="5">
                  <c:v>-229.82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33712"/>
        <c:axId val="197934272"/>
      </c:scatterChart>
      <c:scatterChart>
        <c:scatterStyle val="lineMarker"/>
        <c:varyColors val="0"/>
        <c:ser>
          <c:idx val="2"/>
          <c:order val="2"/>
          <c:tx>
            <c:v>PUNTO1</c:v>
          </c:tx>
          <c:spPr>
            <a:ln w="47625">
              <a:noFill/>
            </a:ln>
          </c:spPr>
          <c:xVal>
            <c:numRef>
              <c:f>'DISEÑO DE COLUMNAS'!$I$14:$I$24</c:f>
              <c:numCache>
                <c:formatCode>0.00</c:formatCode>
                <c:ptCount val="11"/>
                <c:pt idx="0">
                  <c:v>3.2182919999999999</c:v>
                </c:pt>
                <c:pt idx="1">
                  <c:v>2.9116259999999996</c:v>
                </c:pt>
                <c:pt idx="2">
                  <c:v>2.848446</c:v>
                </c:pt>
                <c:pt idx="3">
                  <c:v>18.824999999999996</c:v>
                </c:pt>
                <c:pt idx="4">
                  <c:v>22.524999999999999</c:v>
                </c:pt>
                <c:pt idx="5">
                  <c:v>18.549999999999997</c:v>
                </c:pt>
                <c:pt idx="6">
                  <c:v>19.637499999999996</c:v>
                </c:pt>
                <c:pt idx="7">
                  <c:v>22.799999999999997</c:v>
                </c:pt>
                <c:pt idx="8">
                  <c:v>21.712499999999999</c:v>
                </c:pt>
                <c:pt idx="9">
                  <c:v>19.729999999999997</c:v>
                </c:pt>
                <c:pt idx="10">
                  <c:v>21.619999999999997</c:v>
                </c:pt>
              </c:numCache>
            </c:numRef>
          </c:xVal>
          <c:yVal>
            <c:numRef>
              <c:f>'DISEÑO DE COLUMNAS'!$C$14:$C$24</c:f>
              <c:numCache>
                <c:formatCode>0.00</c:formatCode>
                <c:ptCount val="11"/>
                <c:pt idx="0">
                  <c:v>119.196</c:v>
                </c:pt>
                <c:pt idx="1">
                  <c:v>107.83799999999999</c:v>
                </c:pt>
                <c:pt idx="2">
                  <c:v>105.498</c:v>
                </c:pt>
                <c:pt idx="3">
                  <c:v>75.837500000000006</c:v>
                </c:pt>
                <c:pt idx="4">
                  <c:v>115.86250000000001</c:v>
                </c:pt>
                <c:pt idx="5">
                  <c:v>67.95</c:v>
                </c:pt>
                <c:pt idx="6">
                  <c:v>66.325000000000003</c:v>
                </c:pt>
                <c:pt idx="7">
                  <c:v>107.97500000000001</c:v>
                </c:pt>
                <c:pt idx="8">
                  <c:v>106.35000000000001</c:v>
                </c:pt>
                <c:pt idx="9">
                  <c:v>36.471499999999999</c:v>
                </c:pt>
                <c:pt idx="10">
                  <c:v>76.496499999999997</c:v>
                </c:pt>
              </c:numCache>
            </c:numRef>
          </c:yVal>
          <c:smooth val="0"/>
        </c:ser>
        <c:ser>
          <c:idx val="3"/>
          <c:order val="3"/>
          <c:tx>
            <c:v>PUNTOS 2</c:v>
          </c:tx>
          <c:spPr>
            <a:ln w="47625">
              <a:noFill/>
            </a:ln>
          </c:spPr>
          <c:xVal>
            <c:numRef>
              <c:f>'DISEÑO DE COLUMNAS'!$J$14:$J$24</c:f>
              <c:numCache>
                <c:formatCode>0.00</c:formatCode>
                <c:ptCount val="11"/>
                <c:pt idx="0">
                  <c:v>4.5900000000000007</c:v>
                </c:pt>
                <c:pt idx="1">
                  <c:v>5.4720000000000004</c:v>
                </c:pt>
                <c:pt idx="2">
                  <c:v>2.848446</c:v>
                </c:pt>
                <c:pt idx="3">
                  <c:v>2.0476125000000001</c:v>
                </c:pt>
                <c:pt idx="4">
                  <c:v>8.625</c:v>
                </c:pt>
                <c:pt idx="5">
                  <c:v>1.8346500000000001</c:v>
                </c:pt>
                <c:pt idx="6">
                  <c:v>3.0749999999999993</c:v>
                </c:pt>
                <c:pt idx="7">
                  <c:v>9.2374999999999989</c:v>
                </c:pt>
                <c:pt idx="8">
                  <c:v>6.9499999999999993</c:v>
                </c:pt>
                <c:pt idx="9">
                  <c:v>3.176499999999999</c:v>
                </c:pt>
                <c:pt idx="10">
                  <c:v>6.8484999999999996</c:v>
                </c:pt>
              </c:numCache>
            </c:numRef>
          </c:xVal>
          <c:yVal>
            <c:numRef>
              <c:f>'DISEÑO DE COLUMNAS'!$C$14:$C$24</c:f>
              <c:numCache>
                <c:formatCode>0.00</c:formatCode>
                <c:ptCount val="11"/>
                <c:pt idx="0">
                  <c:v>119.196</c:v>
                </c:pt>
                <c:pt idx="1">
                  <c:v>107.83799999999999</c:v>
                </c:pt>
                <c:pt idx="2">
                  <c:v>105.498</c:v>
                </c:pt>
                <c:pt idx="3">
                  <c:v>75.837500000000006</c:v>
                </c:pt>
                <c:pt idx="4">
                  <c:v>115.86250000000001</c:v>
                </c:pt>
                <c:pt idx="5">
                  <c:v>67.95</c:v>
                </c:pt>
                <c:pt idx="6">
                  <c:v>66.325000000000003</c:v>
                </c:pt>
                <c:pt idx="7">
                  <c:v>107.97500000000001</c:v>
                </c:pt>
                <c:pt idx="8">
                  <c:v>106.35000000000001</c:v>
                </c:pt>
                <c:pt idx="9">
                  <c:v>36.471499999999999</c:v>
                </c:pt>
                <c:pt idx="10">
                  <c:v>76.496499999999997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33712"/>
        <c:axId val="197934272"/>
      </c:scatterChart>
      <c:valAx>
        <c:axId val="1979337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97934272"/>
        <c:crosses val="autoZero"/>
        <c:crossBetween val="midCat"/>
      </c:valAx>
      <c:valAx>
        <c:axId val="1979342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793371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A$9" fmlaRange="Hoja1!$B$2:$B$7" noThreeD="1" sel="3" val="0"/>
</file>

<file path=xl/ctrlProps/ctrlProp2.xml><?xml version="1.0" encoding="utf-8"?>
<formControlPr xmlns="http://schemas.microsoft.com/office/spreadsheetml/2009/9/main" objectType="Drop" dropStyle="combo" dx="16" fmlaLink="$A$11" fmlaRange="Hoja1!$D$2:$D$4" noThreeD="1" sel="2" val="0"/>
</file>

<file path=xl/ctrlProps/ctrlProp3.xml><?xml version="1.0" encoding="utf-8"?>
<formControlPr xmlns="http://schemas.microsoft.com/office/spreadsheetml/2009/9/main" objectType="Drop" dropStyle="combo" dx="16" fmlaLink="$A$7" fmlaRange="Hoja1!$G$2:$G$5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80597</xdr:colOff>
      <xdr:row>2</xdr:row>
      <xdr:rowOff>107461</xdr:rowOff>
    </xdr:from>
    <xdr:to>
      <xdr:col>9</xdr:col>
      <xdr:colOff>227135</xdr:colOff>
      <xdr:row>2</xdr:row>
      <xdr:rowOff>175847</xdr:rowOff>
    </xdr:to>
    <xdr:sp macro="" textlink="">
      <xdr:nvSpPr>
        <xdr:cNvPr id="2" name="1 Flecha izquierda y derecha"/>
        <xdr:cNvSpPr/>
      </xdr:nvSpPr>
      <xdr:spPr>
        <a:xfrm>
          <a:off x="2667001" y="488461"/>
          <a:ext cx="703384" cy="68386"/>
        </a:xfrm>
        <a:prstGeom prst="leftRigh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6</xdr:col>
      <xdr:colOff>213703</xdr:colOff>
      <xdr:row>3</xdr:row>
      <xdr:rowOff>141961</xdr:rowOff>
    </xdr:from>
    <xdr:to>
      <xdr:col>16</xdr:col>
      <xdr:colOff>200020</xdr:colOff>
      <xdr:row>16</xdr:row>
      <xdr:rowOff>85695</xdr:rowOff>
    </xdr:to>
    <xdr:grpSp>
      <xdr:nvGrpSpPr>
        <xdr:cNvPr id="3" name="2 Grupo"/>
        <xdr:cNvGrpSpPr/>
      </xdr:nvGrpSpPr>
      <xdr:grpSpPr>
        <a:xfrm>
          <a:off x="1864703" y="721399"/>
          <a:ext cx="2764442" cy="2578984"/>
          <a:chOff x="3307774" y="1210469"/>
          <a:chExt cx="3531971" cy="2591686"/>
        </a:xfrm>
      </xdr:grpSpPr>
      <xdr:cxnSp macro="">
        <xdr:nvCxnSpPr>
          <xdr:cNvPr id="4" name="3 Conector recto"/>
          <xdr:cNvCxnSpPr/>
        </xdr:nvCxnSpPr>
        <xdr:spPr>
          <a:xfrm rot="5400000">
            <a:off x="4086226" y="2476499"/>
            <a:ext cx="247650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4 Conector recto"/>
          <xdr:cNvCxnSpPr/>
        </xdr:nvCxnSpPr>
        <xdr:spPr>
          <a:xfrm>
            <a:off x="5324475" y="3695700"/>
            <a:ext cx="1504950" cy="95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5 Conector recto"/>
          <xdr:cNvCxnSpPr/>
        </xdr:nvCxnSpPr>
        <xdr:spPr>
          <a:xfrm rot="5400000" flipH="1" flipV="1">
            <a:off x="5586413" y="2462213"/>
            <a:ext cx="2505075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6 Conector recto"/>
          <xdr:cNvCxnSpPr/>
        </xdr:nvCxnSpPr>
        <xdr:spPr>
          <a:xfrm rot="10800000" flipV="1">
            <a:off x="5324479" y="1227326"/>
            <a:ext cx="1505989" cy="1092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7 Conector recto"/>
          <xdr:cNvCxnSpPr/>
        </xdr:nvCxnSpPr>
        <xdr:spPr>
          <a:xfrm rot="5400000">
            <a:off x="4314825" y="2470150"/>
            <a:ext cx="2247900" cy="127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8 Conector recto"/>
          <xdr:cNvCxnSpPr/>
        </xdr:nvCxnSpPr>
        <xdr:spPr>
          <a:xfrm flipV="1">
            <a:off x="5432425" y="3587750"/>
            <a:ext cx="1276350" cy="127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9 Conector recto"/>
          <xdr:cNvCxnSpPr/>
        </xdr:nvCxnSpPr>
        <xdr:spPr>
          <a:xfrm rot="5400000" flipH="1" flipV="1">
            <a:off x="5600700" y="2454275"/>
            <a:ext cx="2228850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10 Conector recto"/>
          <xdr:cNvCxnSpPr/>
        </xdr:nvCxnSpPr>
        <xdr:spPr>
          <a:xfrm flipV="1">
            <a:off x="5457825" y="1352550"/>
            <a:ext cx="1250950" cy="63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11 Elipse"/>
          <xdr:cNvSpPr/>
        </xdr:nvSpPr>
        <xdr:spPr>
          <a:xfrm>
            <a:off x="5441016" y="3527612"/>
            <a:ext cx="82550" cy="6350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13" name="12 Elipse"/>
          <xdr:cNvSpPr/>
        </xdr:nvSpPr>
        <xdr:spPr>
          <a:xfrm>
            <a:off x="6612778" y="3520515"/>
            <a:ext cx="82550" cy="5864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14" name="13 Elipse"/>
          <xdr:cNvSpPr/>
        </xdr:nvSpPr>
        <xdr:spPr>
          <a:xfrm>
            <a:off x="5464175" y="1368239"/>
            <a:ext cx="82550" cy="62006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15" name="14 Elipse"/>
          <xdr:cNvSpPr/>
        </xdr:nvSpPr>
        <xdr:spPr>
          <a:xfrm>
            <a:off x="6612778" y="1361141"/>
            <a:ext cx="82550" cy="62006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16" name="15 Elipse"/>
          <xdr:cNvSpPr/>
        </xdr:nvSpPr>
        <xdr:spPr>
          <a:xfrm>
            <a:off x="5451475" y="3298825"/>
            <a:ext cx="82550" cy="6350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17" name="16 Elipse"/>
          <xdr:cNvSpPr/>
        </xdr:nvSpPr>
        <xdr:spPr>
          <a:xfrm>
            <a:off x="6619875" y="3286125"/>
            <a:ext cx="82550" cy="6350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18" name="17 Elipse"/>
          <xdr:cNvSpPr/>
        </xdr:nvSpPr>
        <xdr:spPr>
          <a:xfrm>
            <a:off x="5470525" y="1593850"/>
            <a:ext cx="82550" cy="6350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19" name="18 Elipse"/>
          <xdr:cNvSpPr/>
        </xdr:nvSpPr>
        <xdr:spPr>
          <a:xfrm>
            <a:off x="6613525" y="1593850"/>
            <a:ext cx="82550" cy="6350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20" name="19 Elipse"/>
          <xdr:cNvSpPr/>
        </xdr:nvSpPr>
        <xdr:spPr>
          <a:xfrm>
            <a:off x="5470525" y="1797050"/>
            <a:ext cx="82550" cy="730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21" name="20 Elipse"/>
          <xdr:cNvSpPr/>
        </xdr:nvSpPr>
        <xdr:spPr>
          <a:xfrm>
            <a:off x="6626225" y="1797050"/>
            <a:ext cx="82550" cy="730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22" name="21 Elipse"/>
          <xdr:cNvSpPr/>
        </xdr:nvSpPr>
        <xdr:spPr>
          <a:xfrm>
            <a:off x="5464175" y="2003425"/>
            <a:ext cx="82550" cy="730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23" name="22 Elipse"/>
          <xdr:cNvSpPr/>
        </xdr:nvSpPr>
        <xdr:spPr>
          <a:xfrm>
            <a:off x="6618061" y="1993446"/>
            <a:ext cx="82550" cy="6214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24" name="23 Elipse"/>
          <xdr:cNvSpPr/>
        </xdr:nvSpPr>
        <xdr:spPr>
          <a:xfrm>
            <a:off x="5457825" y="3101975"/>
            <a:ext cx="82550" cy="6350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25" name="24 Elipse"/>
          <xdr:cNvSpPr/>
        </xdr:nvSpPr>
        <xdr:spPr>
          <a:xfrm>
            <a:off x="5457825" y="2905125"/>
            <a:ext cx="82550" cy="6350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26" name="25 Elipse"/>
          <xdr:cNvSpPr/>
        </xdr:nvSpPr>
        <xdr:spPr>
          <a:xfrm>
            <a:off x="6607175" y="3108325"/>
            <a:ext cx="82550" cy="6350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27" name="26 Elipse"/>
          <xdr:cNvSpPr/>
        </xdr:nvSpPr>
        <xdr:spPr>
          <a:xfrm>
            <a:off x="6613525" y="2895600"/>
            <a:ext cx="82550" cy="603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cxnSp macro="">
        <xdr:nvCxnSpPr>
          <xdr:cNvPr id="28" name="27 Conector recto de flecha"/>
          <xdr:cNvCxnSpPr/>
        </xdr:nvCxnSpPr>
        <xdr:spPr>
          <a:xfrm>
            <a:off x="5334000" y="3800475"/>
            <a:ext cx="1501028" cy="1680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cxnSp macro="">
        <xdr:nvCxnSpPr>
          <xdr:cNvPr id="29" name="28 Conector recto de flecha"/>
          <xdr:cNvCxnSpPr/>
        </xdr:nvCxnSpPr>
        <xdr:spPr>
          <a:xfrm rot="16200000" flipH="1">
            <a:off x="3971365" y="2460254"/>
            <a:ext cx="2436720" cy="1681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sp macro="" textlink="">
        <xdr:nvSpPr>
          <xdr:cNvPr id="30" name="29 Flecha arriba y abajo"/>
          <xdr:cNvSpPr/>
        </xdr:nvSpPr>
        <xdr:spPr>
          <a:xfrm>
            <a:off x="4362450" y="1266825"/>
            <a:ext cx="45719" cy="133350"/>
          </a:xfrm>
          <a:prstGeom prst="up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31" name="30 Flecha arriba y abajo"/>
          <xdr:cNvSpPr/>
        </xdr:nvSpPr>
        <xdr:spPr>
          <a:xfrm>
            <a:off x="4267200" y="1238251"/>
            <a:ext cx="45719" cy="381000"/>
          </a:xfrm>
          <a:prstGeom prst="up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cxnSp macro="">
        <xdr:nvCxnSpPr>
          <xdr:cNvPr id="32" name="31 Conector recto"/>
          <xdr:cNvCxnSpPr/>
        </xdr:nvCxnSpPr>
        <xdr:spPr>
          <a:xfrm rot="10800000">
            <a:off x="3524251" y="1228725"/>
            <a:ext cx="1543050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3" name="32 Flecha arriba y abajo"/>
          <xdr:cNvSpPr/>
        </xdr:nvSpPr>
        <xdr:spPr>
          <a:xfrm>
            <a:off x="4014671" y="1242431"/>
            <a:ext cx="45719" cy="762000"/>
          </a:xfrm>
          <a:prstGeom prst="up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34" name="33 Flecha arriba y abajo"/>
          <xdr:cNvSpPr/>
        </xdr:nvSpPr>
        <xdr:spPr>
          <a:xfrm>
            <a:off x="3895725" y="1233603"/>
            <a:ext cx="45719" cy="1642947"/>
          </a:xfrm>
          <a:prstGeom prst="up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35" name="34 Flecha arriba y abajo"/>
          <xdr:cNvSpPr/>
        </xdr:nvSpPr>
        <xdr:spPr>
          <a:xfrm>
            <a:off x="3800475" y="1242896"/>
            <a:ext cx="45719" cy="1862254"/>
          </a:xfrm>
          <a:prstGeom prst="up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36" name="35 Flecha arriba y abajo"/>
          <xdr:cNvSpPr/>
        </xdr:nvSpPr>
        <xdr:spPr>
          <a:xfrm>
            <a:off x="3676650" y="1238250"/>
            <a:ext cx="45719" cy="2047875"/>
          </a:xfrm>
          <a:prstGeom prst="up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37" name="36 Flecha arriba y abajo"/>
          <xdr:cNvSpPr/>
        </xdr:nvSpPr>
        <xdr:spPr>
          <a:xfrm>
            <a:off x="3524250" y="1233603"/>
            <a:ext cx="45719" cy="2323552"/>
          </a:xfrm>
          <a:prstGeom prst="up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38" name="37 Flecha arriba y abajo"/>
          <xdr:cNvSpPr/>
        </xdr:nvSpPr>
        <xdr:spPr>
          <a:xfrm>
            <a:off x="4161728" y="1233603"/>
            <a:ext cx="45719" cy="585672"/>
          </a:xfrm>
          <a:prstGeom prst="up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39" name="38 Elipse"/>
          <xdr:cNvSpPr/>
        </xdr:nvSpPr>
        <xdr:spPr>
          <a:xfrm>
            <a:off x="5982903" y="3514476"/>
            <a:ext cx="87756" cy="64742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sp macro="" textlink="">
        <xdr:nvSpPr>
          <xdr:cNvPr id="40" name="39 Elipse"/>
          <xdr:cNvSpPr/>
        </xdr:nvSpPr>
        <xdr:spPr>
          <a:xfrm>
            <a:off x="5985947" y="1374106"/>
            <a:ext cx="82550" cy="62006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s-ES" sz="1100"/>
          </a:p>
        </xdr:txBody>
      </xdr:sp>
      <xdr:cxnSp macro="">
        <xdr:nvCxnSpPr>
          <xdr:cNvPr id="47" name="46 Conector recto"/>
          <xdr:cNvCxnSpPr/>
        </xdr:nvCxnSpPr>
        <xdr:spPr>
          <a:xfrm rot="10800000">
            <a:off x="3307774" y="3583132"/>
            <a:ext cx="2008043" cy="1588"/>
          </a:xfrm>
          <a:prstGeom prst="line">
            <a:avLst/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48" name="47 Conector recto"/>
          <xdr:cNvCxnSpPr/>
        </xdr:nvCxnSpPr>
        <xdr:spPr>
          <a:xfrm rot="10800000" flipV="1">
            <a:off x="3646715" y="3315425"/>
            <a:ext cx="1123583" cy="635"/>
          </a:xfrm>
          <a:prstGeom prst="line">
            <a:avLst/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49" name="48 Conector recto"/>
          <xdr:cNvCxnSpPr/>
        </xdr:nvCxnSpPr>
        <xdr:spPr>
          <a:xfrm rot="10800000">
            <a:off x="3774623" y="3125561"/>
            <a:ext cx="983796" cy="1588"/>
          </a:xfrm>
          <a:prstGeom prst="line">
            <a:avLst/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50" name="49 Conector recto"/>
          <xdr:cNvCxnSpPr/>
        </xdr:nvCxnSpPr>
        <xdr:spPr>
          <a:xfrm rot="10800000" flipV="1">
            <a:off x="3872594" y="2910567"/>
            <a:ext cx="880382" cy="5443"/>
          </a:xfrm>
          <a:prstGeom prst="line">
            <a:avLst/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51" name="50 Conector recto"/>
          <xdr:cNvCxnSpPr/>
        </xdr:nvCxnSpPr>
        <xdr:spPr>
          <a:xfrm rot="10800000">
            <a:off x="3981451" y="2019300"/>
            <a:ext cx="787854" cy="1588"/>
          </a:xfrm>
          <a:prstGeom prst="line">
            <a:avLst/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52" name="51 Conector recto"/>
          <xdr:cNvCxnSpPr/>
        </xdr:nvCxnSpPr>
        <xdr:spPr>
          <a:xfrm rot="10800000" flipV="1">
            <a:off x="4101006" y="1816318"/>
            <a:ext cx="658539" cy="9525"/>
          </a:xfrm>
          <a:prstGeom prst="line">
            <a:avLst/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53" name="52 Conector recto"/>
          <xdr:cNvCxnSpPr/>
        </xdr:nvCxnSpPr>
        <xdr:spPr>
          <a:xfrm rot="10800000" flipV="1">
            <a:off x="4238086" y="1630136"/>
            <a:ext cx="514891" cy="3492"/>
          </a:xfrm>
          <a:prstGeom prst="line">
            <a:avLst/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54" name="53 Conector recto"/>
          <xdr:cNvCxnSpPr/>
        </xdr:nvCxnSpPr>
        <xdr:spPr>
          <a:xfrm rot="10800000" flipV="1">
            <a:off x="4342323" y="1428749"/>
            <a:ext cx="417842" cy="3595"/>
          </a:xfrm>
          <a:prstGeom prst="line">
            <a:avLst/>
          </a:prstGeom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180975</xdr:rowOff>
        </xdr:from>
        <xdr:to>
          <xdr:col>4</xdr:col>
          <xdr:colOff>0</xdr:colOff>
          <xdr:row>7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257175</xdr:colOff>
          <xdr:row>8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4</xdr:col>
          <xdr:colOff>0</xdr:colOff>
          <xdr:row>6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47624</xdr:colOff>
      <xdr:row>0</xdr:row>
      <xdr:rowOff>22225</xdr:rowOff>
    </xdr:from>
    <xdr:to>
      <xdr:col>43</xdr:col>
      <xdr:colOff>247649</xdr:colOff>
      <xdr:row>51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H10" sqref="H10"/>
    </sheetView>
  </sheetViews>
  <sheetFormatPr baseColWidth="10" defaultColWidth="10.625" defaultRowHeight="14.25" x14ac:dyDescent="0.2"/>
  <cols>
    <col min="30" max="30" width="2.75" customWidth="1"/>
  </cols>
  <sheetData>
    <row r="1" spans="1:7" ht="15" thickBot="1" x14ac:dyDescent="0.25"/>
    <row r="2" spans="1:7" ht="15" x14ac:dyDescent="0.25">
      <c r="A2" s="1">
        <v>1</v>
      </c>
      <c r="B2" s="2">
        <v>175</v>
      </c>
      <c r="C2" s="3">
        <v>1</v>
      </c>
      <c r="D2" s="3">
        <v>2800</v>
      </c>
      <c r="F2" s="4">
        <v>1</v>
      </c>
      <c r="G2" s="5">
        <v>0.7</v>
      </c>
    </row>
    <row r="3" spans="1:7" ht="15" x14ac:dyDescent="0.25">
      <c r="A3" s="1">
        <v>2</v>
      </c>
      <c r="B3" s="2">
        <v>210</v>
      </c>
      <c r="C3" s="3">
        <v>2</v>
      </c>
      <c r="D3" s="3">
        <v>4200</v>
      </c>
      <c r="F3" s="6">
        <v>2</v>
      </c>
      <c r="G3" s="7">
        <v>0.75</v>
      </c>
    </row>
    <row r="4" spans="1:7" ht="15" x14ac:dyDescent="0.25">
      <c r="A4" s="1">
        <v>3</v>
      </c>
      <c r="B4" s="2">
        <v>280</v>
      </c>
      <c r="C4" s="3">
        <v>3</v>
      </c>
      <c r="D4" s="3">
        <v>3500</v>
      </c>
      <c r="F4" s="6">
        <v>3</v>
      </c>
      <c r="G4" s="7">
        <v>0.85</v>
      </c>
    </row>
    <row r="5" spans="1:7" ht="15" x14ac:dyDescent="0.25">
      <c r="A5" s="1">
        <v>4</v>
      </c>
      <c r="B5" s="2">
        <v>350</v>
      </c>
      <c r="F5" s="6">
        <v>4</v>
      </c>
      <c r="G5" s="8">
        <v>0.9</v>
      </c>
    </row>
    <row r="6" spans="1:7" ht="15" x14ac:dyDescent="0.25">
      <c r="A6" s="1">
        <v>5</v>
      </c>
      <c r="B6" s="2">
        <v>420</v>
      </c>
    </row>
    <row r="7" spans="1:7" ht="15" x14ac:dyDescent="0.25">
      <c r="A7" s="1">
        <v>6</v>
      </c>
      <c r="B7" s="2">
        <v>630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L225"/>
  <sheetViews>
    <sheetView showGridLines="0" tabSelected="1" zoomScale="120" zoomScaleNormal="120" workbookViewId="0">
      <selection activeCell="T141" sqref="T141"/>
    </sheetView>
  </sheetViews>
  <sheetFormatPr baseColWidth="10" defaultColWidth="3.625" defaultRowHeight="14.25" x14ac:dyDescent="0.2"/>
  <cols>
    <col min="1" max="1" width="2.5" customWidth="1"/>
    <col min="2" max="2" width="3.5" customWidth="1"/>
    <col min="3" max="3" width="4.125" customWidth="1"/>
    <col min="4" max="4" width="3.5" customWidth="1"/>
    <col min="5" max="5" width="4.25" customWidth="1"/>
    <col min="12" max="14" width="3.625" customWidth="1"/>
    <col min="17" max="17" width="3.625" customWidth="1"/>
    <col min="19" max="20" width="3.625" customWidth="1"/>
  </cols>
  <sheetData>
    <row r="1" spans="1:38" ht="15" x14ac:dyDescent="0.25">
      <c r="A1" s="127" t="s">
        <v>112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</row>
    <row r="2" spans="1:38" ht="15" x14ac:dyDescent="0.25">
      <c r="A2" s="121"/>
      <c r="B2" s="9"/>
      <c r="C2" s="9"/>
      <c r="D2" s="9"/>
      <c r="E2" s="9"/>
      <c r="F2" s="9"/>
      <c r="G2" s="9"/>
      <c r="H2" s="9"/>
      <c r="I2" s="9"/>
      <c r="J2" s="9"/>
      <c r="K2" s="9"/>
      <c r="L2" s="17"/>
      <c r="M2" s="9"/>
      <c r="N2" s="9"/>
      <c r="O2" s="9"/>
      <c r="P2" s="9"/>
      <c r="Q2" s="9"/>
      <c r="R2" s="9"/>
      <c r="S2" s="9"/>
      <c r="T2" s="9"/>
      <c r="U2" s="9"/>
      <c r="V2" s="9"/>
      <c r="W2" s="84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</row>
    <row r="3" spans="1:38" ht="15.75" customHeight="1" x14ac:dyDescent="0.25">
      <c r="A3" s="122"/>
      <c r="B3" s="192" t="s">
        <v>0</v>
      </c>
      <c r="C3" s="193"/>
      <c r="D3" s="193"/>
      <c r="E3" s="10"/>
      <c r="F3" s="10"/>
      <c r="G3" s="10"/>
      <c r="H3" s="10"/>
      <c r="I3" s="10"/>
      <c r="J3" s="84"/>
      <c r="K3" s="31" t="s">
        <v>1</v>
      </c>
      <c r="L3" s="84"/>
      <c r="M3" s="84"/>
      <c r="N3" s="84"/>
      <c r="O3" s="84"/>
      <c r="P3" s="84"/>
      <c r="Q3" s="84"/>
      <c r="R3" s="84"/>
      <c r="S3" s="85"/>
      <c r="T3" s="85"/>
      <c r="U3" s="84"/>
      <c r="V3" s="84"/>
      <c r="W3" s="84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</row>
    <row r="4" spans="1:38" ht="15" x14ac:dyDescent="0.2">
      <c r="A4" s="123"/>
      <c r="B4" s="11" t="s">
        <v>2</v>
      </c>
      <c r="C4" s="184">
        <v>40</v>
      </c>
      <c r="D4" s="184"/>
      <c r="E4" s="9"/>
      <c r="F4" s="9"/>
      <c r="G4" s="9"/>
      <c r="H4" s="9"/>
      <c r="I4" s="9"/>
      <c r="J4" s="84"/>
      <c r="K4" s="84"/>
      <c r="L4" s="84"/>
      <c r="M4" s="84"/>
      <c r="N4" s="84"/>
      <c r="O4" s="84"/>
      <c r="P4" s="84"/>
      <c r="Q4" s="84"/>
      <c r="R4" s="84"/>
      <c r="S4" s="84"/>
      <c r="T4" s="85"/>
      <c r="U4" s="84"/>
      <c r="V4" s="84"/>
      <c r="W4" s="84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</row>
    <row r="5" spans="1:38" ht="15" x14ac:dyDescent="0.25">
      <c r="A5" s="123"/>
      <c r="B5" s="11" t="s">
        <v>3</v>
      </c>
      <c r="C5" s="184">
        <v>40</v>
      </c>
      <c r="D5" s="184"/>
      <c r="E5" s="9"/>
      <c r="F5" s="9"/>
      <c r="G5" s="9"/>
      <c r="H5" s="9"/>
      <c r="I5" s="9"/>
      <c r="J5" s="84"/>
      <c r="K5" s="43" t="s">
        <v>4</v>
      </c>
      <c r="L5" s="12">
        <v>6</v>
      </c>
      <c r="M5" s="84"/>
      <c r="N5" s="84"/>
      <c r="O5" s="84"/>
      <c r="P5" s="84"/>
      <c r="Q5" s="84"/>
      <c r="R5" s="40" t="s">
        <v>5</v>
      </c>
      <c r="S5" s="181">
        <v>20.399999999999999</v>
      </c>
      <c r="T5" s="181"/>
      <c r="U5" s="40" t="s">
        <v>6</v>
      </c>
      <c r="V5" s="84"/>
      <c r="W5" s="84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ht="15" x14ac:dyDescent="0.25">
      <c r="A6" s="123">
        <f>VLOOKUP(A7,Hoja1!F2:G5,2,FALSE)</f>
        <v>0.7</v>
      </c>
      <c r="B6" s="11" t="s">
        <v>33</v>
      </c>
      <c r="C6" s="117"/>
      <c r="D6" s="84"/>
      <c r="E6" s="13"/>
      <c r="F6" s="13"/>
      <c r="G6" s="13"/>
      <c r="H6" s="13"/>
      <c r="I6" s="14"/>
      <c r="J6" s="84"/>
      <c r="K6" s="43" t="s">
        <v>8</v>
      </c>
      <c r="L6" s="12">
        <v>9</v>
      </c>
      <c r="M6" s="84"/>
      <c r="N6" s="84"/>
      <c r="O6" s="84"/>
      <c r="P6" s="84"/>
      <c r="Q6" s="84"/>
      <c r="R6" s="40" t="s">
        <v>9</v>
      </c>
      <c r="S6" s="181">
        <v>10</v>
      </c>
      <c r="T6" s="181"/>
      <c r="U6" s="40" t="s">
        <v>6</v>
      </c>
      <c r="V6" s="84"/>
      <c r="W6" s="84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</row>
    <row r="7" spans="1:38" ht="15.75" x14ac:dyDescent="0.25">
      <c r="A7" s="123">
        <v>1</v>
      </c>
      <c r="B7" s="11" t="s">
        <v>113</v>
      </c>
      <c r="C7" s="16"/>
      <c r="D7" s="84"/>
      <c r="E7" s="10"/>
      <c r="F7" s="10"/>
      <c r="G7" s="10"/>
      <c r="H7" s="10"/>
      <c r="I7" s="14"/>
      <c r="J7" s="84"/>
      <c r="K7" s="43" t="s">
        <v>10</v>
      </c>
      <c r="L7" s="15">
        <v>0</v>
      </c>
      <c r="M7" s="19"/>
      <c r="N7" s="19"/>
      <c r="O7" s="19"/>
      <c r="P7" s="19"/>
      <c r="Q7" s="19"/>
      <c r="R7" s="40" t="s">
        <v>11</v>
      </c>
      <c r="S7" s="182">
        <v>0</v>
      </c>
      <c r="T7" s="182"/>
      <c r="U7" s="40" t="s">
        <v>6</v>
      </c>
      <c r="V7" s="84"/>
      <c r="W7" s="84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</row>
    <row r="8" spans="1:38" ht="15" x14ac:dyDescent="0.25">
      <c r="A8" s="123">
        <f>VLOOKUP(A9,Hoja1!A2:B7,2,FALSE)</f>
        <v>280</v>
      </c>
      <c r="B8" s="11" t="s">
        <v>114</v>
      </c>
      <c r="C8" s="118"/>
      <c r="D8" s="85"/>
      <c r="E8" s="17"/>
      <c r="F8" s="17"/>
      <c r="G8" s="17"/>
      <c r="H8" s="17"/>
      <c r="I8" s="17"/>
      <c r="J8" s="84"/>
      <c r="K8" s="43" t="s">
        <v>12</v>
      </c>
      <c r="L8" s="15">
        <v>0</v>
      </c>
      <c r="M8" s="19"/>
      <c r="N8" s="19"/>
      <c r="O8" s="19"/>
      <c r="P8" s="19"/>
      <c r="Q8" s="19"/>
      <c r="R8" s="40" t="s">
        <v>13</v>
      </c>
      <c r="S8" s="182">
        <v>0</v>
      </c>
      <c r="T8" s="182"/>
      <c r="U8" s="40" t="s">
        <v>6</v>
      </c>
      <c r="V8" s="84"/>
      <c r="W8" s="84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</row>
    <row r="9" spans="1:38" ht="18.75" x14ac:dyDescent="0.3">
      <c r="A9" s="123">
        <v>3</v>
      </c>
      <c r="B9" s="20" t="s">
        <v>32</v>
      </c>
      <c r="C9" s="183">
        <v>2000000</v>
      </c>
      <c r="D9" s="183"/>
      <c r="E9" s="17"/>
      <c r="F9" s="17"/>
      <c r="G9" s="17"/>
      <c r="H9" s="17"/>
      <c r="I9" s="18"/>
      <c r="J9" s="84"/>
      <c r="K9" s="44"/>
      <c r="L9" s="19"/>
      <c r="M9" s="19"/>
      <c r="N9" s="19"/>
      <c r="O9" s="19"/>
      <c r="P9" s="19"/>
      <c r="Q9" s="19"/>
      <c r="R9" s="41"/>
      <c r="S9" s="42"/>
      <c r="T9" s="42"/>
      <c r="U9" s="41"/>
      <c r="V9" s="84"/>
      <c r="W9" s="84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</row>
    <row r="10" spans="1:38" ht="18.75" x14ac:dyDescent="0.3">
      <c r="A10" s="123">
        <f>VLOOKUP(A11,Hoja1!C2:D4,2,FALSE)</f>
        <v>4200</v>
      </c>
      <c r="B10" s="20" t="s">
        <v>29</v>
      </c>
      <c r="C10" s="184">
        <v>3.0000000000000001E-3</v>
      </c>
      <c r="D10" s="184"/>
      <c r="E10" s="14"/>
      <c r="F10" s="14"/>
      <c r="G10" s="14"/>
      <c r="H10" s="14"/>
      <c r="I10" s="21"/>
      <c r="J10" s="84"/>
      <c r="K10" s="44"/>
      <c r="L10" s="22">
        <f>C5</f>
        <v>40</v>
      </c>
      <c r="M10" s="19"/>
      <c r="N10" s="19"/>
      <c r="O10" s="19"/>
      <c r="P10" s="19"/>
      <c r="Q10" s="19"/>
      <c r="R10" s="41"/>
      <c r="S10" s="42"/>
      <c r="T10" s="42"/>
      <c r="U10" s="41"/>
      <c r="V10" s="84"/>
      <c r="W10" s="84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</row>
    <row r="11" spans="1:38" ht="18.75" x14ac:dyDescent="0.3">
      <c r="A11" s="123">
        <v>2</v>
      </c>
      <c r="B11" s="20" t="s">
        <v>30</v>
      </c>
      <c r="C11" s="185">
        <v>2.0999999999999999E-3</v>
      </c>
      <c r="D11" s="185"/>
      <c r="E11" s="23"/>
      <c r="F11" s="23"/>
      <c r="G11" s="23"/>
      <c r="H11" s="23"/>
      <c r="I11" s="24"/>
      <c r="J11" s="84"/>
      <c r="K11" s="44"/>
      <c r="L11" s="19"/>
      <c r="M11" s="19"/>
      <c r="N11" s="19"/>
      <c r="O11" s="19"/>
      <c r="P11" s="19"/>
      <c r="Q11" s="19"/>
      <c r="R11" s="41"/>
      <c r="S11" s="42"/>
      <c r="T11" s="42"/>
      <c r="U11" s="41"/>
      <c r="V11" s="84"/>
      <c r="W11" s="84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</row>
    <row r="12" spans="1:38" ht="15.75" x14ac:dyDescent="0.25">
      <c r="A12" s="123"/>
      <c r="B12" s="119" t="s">
        <v>31</v>
      </c>
      <c r="C12" s="186">
        <f>IF(A8&gt;280,0.85-(0.05*(A8-280)/70),0.85)</f>
        <v>0.85</v>
      </c>
      <c r="D12" s="186"/>
      <c r="E12" s="10"/>
      <c r="F12" s="10"/>
      <c r="G12" s="10"/>
      <c r="H12" s="10"/>
      <c r="I12" s="10"/>
      <c r="J12" s="84"/>
      <c r="K12" s="43" t="s">
        <v>14</v>
      </c>
      <c r="L12" s="12">
        <v>0</v>
      </c>
      <c r="M12" s="19"/>
      <c r="N12" s="19"/>
      <c r="O12" s="19"/>
      <c r="P12" s="19"/>
      <c r="Q12" s="19"/>
      <c r="R12" s="41"/>
      <c r="S12" s="42"/>
      <c r="T12" s="42"/>
      <c r="U12" s="41"/>
      <c r="V12" s="84"/>
      <c r="W12" s="84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</row>
    <row r="13" spans="1:38" ht="15.75" x14ac:dyDescent="0.25">
      <c r="A13" s="123"/>
      <c r="B13" s="120" t="s">
        <v>7</v>
      </c>
      <c r="C13" s="186">
        <f>C5-6</f>
        <v>34</v>
      </c>
      <c r="D13" s="186"/>
      <c r="E13" s="10"/>
      <c r="F13" s="10"/>
      <c r="G13" s="10"/>
      <c r="H13" s="10"/>
      <c r="I13" s="26"/>
      <c r="J13" s="84"/>
      <c r="K13" s="43" t="s">
        <v>15</v>
      </c>
      <c r="L13" s="12">
        <v>0</v>
      </c>
      <c r="M13" s="19"/>
      <c r="N13" s="19"/>
      <c r="O13" s="19"/>
      <c r="P13" s="19"/>
      <c r="Q13" s="19"/>
      <c r="R13" s="40" t="s">
        <v>16</v>
      </c>
      <c r="S13" s="181">
        <v>0</v>
      </c>
      <c r="T13" s="181"/>
      <c r="U13" s="40" t="s">
        <v>6</v>
      </c>
      <c r="V13" s="84"/>
      <c r="W13" s="84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</row>
    <row r="14" spans="1:38" x14ac:dyDescent="0.2">
      <c r="A14" s="123"/>
      <c r="B14" s="84"/>
      <c r="C14" s="84"/>
      <c r="D14" s="84"/>
      <c r="E14" s="9"/>
      <c r="F14" s="9"/>
      <c r="G14" s="9"/>
      <c r="H14" s="9"/>
      <c r="I14" s="9"/>
      <c r="J14" s="84"/>
      <c r="K14" s="43" t="s">
        <v>17</v>
      </c>
      <c r="L14" s="15">
        <v>31</v>
      </c>
      <c r="M14" s="19"/>
      <c r="N14" s="19"/>
      <c r="O14" s="19"/>
      <c r="P14" s="19"/>
      <c r="Q14" s="19"/>
      <c r="R14" s="40" t="s">
        <v>18</v>
      </c>
      <c r="S14" s="181">
        <v>0</v>
      </c>
      <c r="T14" s="181"/>
      <c r="U14" s="40" t="s">
        <v>6</v>
      </c>
      <c r="V14" s="84"/>
      <c r="W14" s="84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</row>
    <row r="15" spans="1:38" ht="15.75" x14ac:dyDescent="0.25">
      <c r="A15" s="123"/>
      <c r="B15" s="84"/>
      <c r="C15" s="84"/>
      <c r="D15" s="84"/>
      <c r="E15" s="84"/>
      <c r="F15" s="84"/>
      <c r="G15" s="84"/>
      <c r="H15" s="10"/>
      <c r="I15" s="9"/>
      <c r="J15" s="84"/>
      <c r="K15" s="43" t="s">
        <v>19</v>
      </c>
      <c r="L15" s="27">
        <v>34</v>
      </c>
      <c r="M15" s="19"/>
      <c r="N15" s="19"/>
      <c r="O15" s="19"/>
      <c r="P15" s="19"/>
      <c r="Q15" s="19"/>
      <c r="R15" s="40" t="s">
        <v>20</v>
      </c>
      <c r="S15" s="182">
        <v>10</v>
      </c>
      <c r="T15" s="182"/>
      <c r="U15" s="40" t="s">
        <v>6</v>
      </c>
      <c r="V15" s="84"/>
      <c r="W15" s="84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</row>
    <row r="16" spans="1:38" x14ac:dyDescent="0.2">
      <c r="A16" s="123"/>
      <c r="B16" s="84"/>
      <c r="C16" s="84"/>
      <c r="D16" s="84"/>
      <c r="E16" s="84"/>
      <c r="F16" s="84"/>
      <c r="G16" s="84"/>
      <c r="H16" s="28"/>
      <c r="I16" s="9"/>
      <c r="J16" s="85"/>
      <c r="K16" s="84"/>
      <c r="L16" s="19"/>
      <c r="M16" s="19"/>
      <c r="N16" s="19"/>
      <c r="O16" s="19"/>
      <c r="P16" s="19"/>
      <c r="Q16" s="19"/>
      <c r="R16" s="40" t="s">
        <v>22</v>
      </c>
      <c r="S16" s="182">
        <v>20.399999999999999</v>
      </c>
      <c r="T16" s="182"/>
      <c r="U16" s="40" t="s">
        <v>6</v>
      </c>
      <c r="V16" s="84"/>
      <c r="W16" s="84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</row>
    <row r="17" spans="1:38" x14ac:dyDescent="0.2">
      <c r="A17" s="123"/>
      <c r="B17" s="84"/>
      <c r="C17" s="84"/>
      <c r="D17" s="84"/>
      <c r="E17" s="84"/>
      <c r="F17" s="84"/>
      <c r="G17" s="84"/>
      <c r="H17" s="9"/>
      <c r="I17" s="9"/>
      <c r="J17" s="84"/>
      <c r="K17" s="19"/>
      <c r="L17" s="19"/>
      <c r="M17" s="19"/>
      <c r="N17" s="19"/>
      <c r="O17" s="19"/>
      <c r="P17" s="19"/>
      <c r="Q17" s="19"/>
      <c r="R17" s="19"/>
      <c r="S17" s="84"/>
      <c r="T17" s="84"/>
      <c r="U17" s="84"/>
      <c r="V17" s="19"/>
      <c r="W17" s="84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</row>
    <row r="18" spans="1:38" ht="14.25" customHeight="1" x14ac:dyDescent="0.25">
      <c r="A18" s="124"/>
      <c r="B18" s="84"/>
      <c r="C18" s="84"/>
      <c r="D18" s="84"/>
      <c r="E18" s="84"/>
      <c r="F18" s="84"/>
      <c r="G18" s="84"/>
      <c r="H18" s="9"/>
      <c r="I18" s="9"/>
      <c r="J18" s="84"/>
      <c r="K18" s="84"/>
      <c r="L18" s="85"/>
      <c r="M18" s="32"/>
      <c r="N18" s="32"/>
      <c r="O18" s="32">
        <f>C4</f>
        <v>40</v>
      </c>
      <c r="P18" s="32"/>
      <c r="Q18" s="32"/>
      <c r="R18" s="84"/>
      <c r="S18" s="84"/>
      <c r="T18" s="84"/>
      <c r="U18" s="84"/>
      <c r="V18" s="84"/>
      <c r="W18" s="84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</row>
    <row r="19" spans="1:38" ht="12" customHeight="1" x14ac:dyDescent="0.2">
      <c r="A19" s="124"/>
      <c r="B19" s="84"/>
      <c r="C19" s="84"/>
      <c r="D19" s="84"/>
      <c r="E19" s="84"/>
      <c r="F19" s="84"/>
      <c r="G19" s="84"/>
      <c r="H19" s="84"/>
      <c r="I19" s="84"/>
      <c r="J19" s="9"/>
      <c r="K19" s="9"/>
      <c r="L19" s="33" t="s">
        <v>25</v>
      </c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</row>
    <row r="20" spans="1:38" ht="12" customHeight="1" x14ac:dyDescent="0.2">
      <c r="A20" s="124"/>
      <c r="B20" s="84"/>
      <c r="C20" s="84"/>
      <c r="D20" s="84"/>
      <c r="E20" s="84"/>
      <c r="F20" s="84"/>
      <c r="G20" s="84"/>
      <c r="H20" s="84"/>
      <c r="I20" s="84"/>
      <c r="J20" s="9"/>
      <c r="K20" s="9"/>
      <c r="L20" s="33" t="s">
        <v>27</v>
      </c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</row>
    <row r="21" spans="1:38" ht="15.75" x14ac:dyDescent="0.25">
      <c r="A21" s="84"/>
      <c r="B21" s="34" t="s">
        <v>21</v>
      </c>
      <c r="C21" s="25"/>
      <c r="D21" s="25"/>
      <c r="E21" s="10"/>
      <c r="F21" s="10"/>
      <c r="G21" s="10"/>
      <c r="H21" s="10"/>
      <c r="I21" s="10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</row>
    <row r="22" spans="1:38" ht="15" x14ac:dyDescent="0.25">
      <c r="A22" s="84"/>
      <c r="B22" s="35" t="s">
        <v>23</v>
      </c>
      <c r="C22" s="188">
        <f>C4*C5</f>
        <v>1600</v>
      </c>
      <c r="D22" s="188"/>
      <c r="E22" s="30" t="s">
        <v>6</v>
      </c>
      <c r="F22" s="28"/>
      <c r="G22" s="28"/>
      <c r="H22" s="28"/>
      <c r="I22" s="28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3" spans="1:38" x14ac:dyDescent="0.2">
      <c r="A23" s="84"/>
      <c r="B23" s="84"/>
      <c r="C23" s="25"/>
      <c r="D23" s="25"/>
      <c r="E23" s="9"/>
      <c r="F23" s="9"/>
      <c r="G23" s="9"/>
      <c r="H23" s="9"/>
      <c r="I23" s="9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</row>
    <row r="24" spans="1:38" x14ac:dyDescent="0.2">
      <c r="A24" s="84"/>
      <c r="B24" s="36" t="s">
        <v>24</v>
      </c>
      <c r="C24" s="25"/>
      <c r="D24" s="25"/>
      <c r="E24" s="9"/>
      <c r="F24" s="9"/>
      <c r="G24" s="9"/>
      <c r="H24" s="9"/>
      <c r="I24" s="9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</row>
    <row r="25" spans="1:38" ht="15" x14ac:dyDescent="0.25">
      <c r="A25" s="84"/>
      <c r="B25" s="37" t="s">
        <v>26</v>
      </c>
      <c r="C25" s="188">
        <f>SUM(S5+S6+S7+S8+S13+S14+S15+S16)</f>
        <v>60.8</v>
      </c>
      <c r="D25" s="188"/>
      <c r="E25" s="30" t="s">
        <v>6</v>
      </c>
      <c r="F25" s="9"/>
      <c r="G25" s="9"/>
      <c r="H25" s="9"/>
      <c r="I25" s="9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</row>
    <row r="26" spans="1:38" ht="15.75" x14ac:dyDescent="0.25">
      <c r="A26" s="84"/>
      <c r="B26" s="29" t="s">
        <v>28</v>
      </c>
      <c r="C26" s="187">
        <f>C25/C22</f>
        <v>3.7999999999999999E-2</v>
      </c>
      <c r="D26" s="187"/>
      <c r="E26" s="9"/>
      <c r="F26" s="9"/>
      <c r="G26" s="9"/>
      <c r="H26" s="9"/>
      <c r="I26" s="9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</row>
    <row r="27" spans="1:38" x14ac:dyDescent="0.2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</row>
    <row r="28" spans="1:38" x14ac:dyDescent="0.2">
      <c r="A28" s="85"/>
      <c r="B28" s="136" t="s">
        <v>34</v>
      </c>
      <c r="C28" s="136"/>
      <c r="D28" s="136"/>
      <c r="E28" s="136"/>
      <c r="F28" s="136"/>
      <c r="G28" s="136"/>
      <c r="H28" s="136"/>
      <c r="I28" s="84"/>
      <c r="J28" s="125" t="s">
        <v>47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</row>
    <row r="29" spans="1:38" ht="6" customHeight="1" x14ac:dyDescent="0.2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</row>
    <row r="30" spans="1:38" x14ac:dyDescent="0.2">
      <c r="A30" s="85"/>
      <c r="B30" s="39" t="s">
        <v>35</v>
      </c>
      <c r="C30" s="189">
        <f>(C25*A10+0.85*A8*(C22-C25))/1000</f>
        <v>621.68960000000004</v>
      </c>
      <c r="D30" s="189"/>
      <c r="E30" s="46" t="s">
        <v>36</v>
      </c>
      <c r="F30" s="4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</row>
    <row r="31" spans="1:38" x14ac:dyDescent="0.2">
      <c r="A31" s="85"/>
      <c r="B31" s="39" t="s">
        <v>37</v>
      </c>
      <c r="C31" s="190">
        <f>ROUND(0.8*C30,2)</f>
        <v>497.35</v>
      </c>
      <c r="D31" s="190"/>
      <c r="E31" s="46" t="s">
        <v>36</v>
      </c>
      <c r="F31" s="4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</row>
    <row r="32" spans="1:38" ht="15" x14ac:dyDescent="0.25">
      <c r="A32" s="85"/>
      <c r="B32" s="39" t="s">
        <v>38</v>
      </c>
      <c r="C32" s="191">
        <f>ROUND(A6*C31,2)</f>
        <v>348.15</v>
      </c>
      <c r="D32" s="191"/>
      <c r="E32" s="46" t="s">
        <v>36</v>
      </c>
      <c r="F32" s="45"/>
      <c r="G32" s="85"/>
      <c r="H32" s="85"/>
      <c r="I32" s="85"/>
      <c r="R32" s="85"/>
      <c r="S32" s="85"/>
      <c r="T32" s="85"/>
      <c r="U32" s="85"/>
      <c r="V32" s="85"/>
      <c r="W32" s="85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</row>
    <row r="33" spans="1:38" ht="15" x14ac:dyDescent="0.25">
      <c r="A33" s="85"/>
      <c r="B33" s="39" t="s">
        <v>39</v>
      </c>
      <c r="C33" s="191">
        <v>0</v>
      </c>
      <c r="D33" s="191"/>
      <c r="E33" s="46" t="s">
        <v>40</v>
      </c>
      <c r="F33" s="4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</row>
    <row r="34" spans="1:38" ht="9.75" customHeight="1" x14ac:dyDescent="0.2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</row>
    <row r="35" spans="1:38" ht="15.75" x14ac:dyDescent="0.25">
      <c r="A35" s="85"/>
      <c r="B35" s="136" t="s">
        <v>41</v>
      </c>
      <c r="C35" s="136"/>
      <c r="D35" s="136"/>
      <c r="E35" s="136"/>
      <c r="F35" s="136"/>
      <c r="G35" s="136"/>
      <c r="H35" s="136"/>
      <c r="I35" s="85"/>
      <c r="J35" s="85"/>
      <c r="K35" s="48" t="s">
        <v>42</v>
      </c>
      <c r="L35" s="160">
        <v>0</v>
      </c>
      <c r="M35" s="160"/>
      <c r="N35" s="85"/>
      <c r="O35" s="85"/>
      <c r="P35" s="48" t="s">
        <v>45</v>
      </c>
      <c r="Q35" s="160">
        <f>C$12*L36</f>
        <v>28.9</v>
      </c>
      <c r="R35" s="160"/>
      <c r="S35" s="40" t="s">
        <v>68</v>
      </c>
      <c r="T35" s="85"/>
      <c r="U35" s="166" t="str">
        <f>IF(Q35&lt;L37,"a&lt;d","a&gt;d")</f>
        <v>a&lt;d</v>
      </c>
      <c r="V35" s="166"/>
      <c r="W35" s="85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</row>
    <row r="36" spans="1:38" x14ac:dyDescent="0.2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48" t="s">
        <v>43</v>
      </c>
      <c r="L36" s="160">
        <f>(0.003/(0.003-L35*C11))*C13</f>
        <v>34</v>
      </c>
      <c r="M36" s="160"/>
      <c r="N36" s="40" t="s">
        <v>68</v>
      </c>
      <c r="O36" s="85"/>
      <c r="P36" s="48" t="s">
        <v>46</v>
      </c>
      <c r="Q36" s="169">
        <f>ROUND(0.85*A8*C12*L36*C4,0)</f>
        <v>275128</v>
      </c>
      <c r="R36" s="179"/>
      <c r="S36" s="68" t="s">
        <v>64</v>
      </c>
      <c r="T36" s="85"/>
      <c r="U36" s="85"/>
      <c r="V36" s="85"/>
      <c r="W36" s="85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</row>
    <row r="37" spans="1:38" x14ac:dyDescent="0.2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48" t="s">
        <v>44</v>
      </c>
      <c r="L37" s="159">
        <f>C13</f>
        <v>34</v>
      </c>
      <c r="M37" s="160"/>
      <c r="N37" s="40" t="s">
        <v>68</v>
      </c>
      <c r="O37" s="85"/>
      <c r="P37" s="48" t="s">
        <v>60</v>
      </c>
      <c r="Q37" s="160">
        <f>C5/2</f>
        <v>20</v>
      </c>
      <c r="R37" s="160"/>
      <c r="S37" s="40" t="s">
        <v>68</v>
      </c>
      <c r="T37" s="85"/>
      <c r="U37" s="85"/>
      <c r="V37" s="85"/>
      <c r="W37" s="85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</row>
    <row r="38" spans="1:38" ht="15" thickBot="1" x14ac:dyDescent="0.2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</row>
    <row r="39" spans="1:38" ht="15.75" thickTop="1" thickBot="1" x14ac:dyDescent="0.25">
      <c r="A39" s="85"/>
      <c r="B39" s="66" t="s">
        <v>49</v>
      </c>
      <c r="C39" s="116"/>
      <c r="D39" s="161" t="s">
        <v>48</v>
      </c>
      <c r="E39" s="162"/>
      <c r="F39" s="163" t="s">
        <v>50</v>
      </c>
      <c r="G39" s="152"/>
      <c r="H39" s="153"/>
      <c r="I39" s="161" t="s">
        <v>51</v>
      </c>
      <c r="J39" s="180"/>
      <c r="K39" s="162"/>
      <c r="L39" s="67"/>
      <c r="M39" s="116"/>
      <c r="N39" s="161" t="s">
        <v>51</v>
      </c>
      <c r="O39" s="162"/>
      <c r="P39" s="161" t="s">
        <v>67</v>
      </c>
      <c r="Q39" s="162"/>
      <c r="R39" s="161" t="s">
        <v>61</v>
      </c>
      <c r="S39" s="162"/>
      <c r="T39" s="180" t="s">
        <v>62</v>
      </c>
      <c r="U39" s="162"/>
      <c r="V39" s="85"/>
      <c r="W39" s="85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</row>
    <row r="40" spans="1:38" ht="15" thickTop="1" x14ac:dyDescent="0.2">
      <c r="A40" s="85"/>
      <c r="B40" s="50" t="s">
        <v>5</v>
      </c>
      <c r="C40" s="51">
        <f>S$5</f>
        <v>20.399999999999999</v>
      </c>
      <c r="D40" s="57" t="s">
        <v>4</v>
      </c>
      <c r="E40" s="115">
        <f>L$5</f>
        <v>6</v>
      </c>
      <c r="F40" s="60" t="s">
        <v>75</v>
      </c>
      <c r="G40" s="194">
        <f>ABS(ROUND(IF(E40=0,0,((L$36-E40)/L$36)*C$10),6))</f>
        <v>2.4710000000000001E-3</v>
      </c>
      <c r="H40" s="195"/>
      <c r="I40" s="69" t="s">
        <v>52</v>
      </c>
      <c r="J40" s="154">
        <f>ROUND(C$9*G40,0)</f>
        <v>4942</v>
      </c>
      <c r="K40" s="154"/>
      <c r="L40" s="80" t="str">
        <f>IF(J40&gt;=A$10,"fluye","no fluye")</f>
        <v>fluye</v>
      </c>
      <c r="M40" s="82"/>
      <c r="N40" s="154">
        <f>IF(J40&gt;A$10,A$10,J40)</f>
        <v>4200</v>
      </c>
      <c r="O40" s="155"/>
      <c r="P40" s="156">
        <f>IF(U$35="a&lt;d",C40*N40,C40*N40-0.85*A$8*C40)</f>
        <v>85680</v>
      </c>
      <c r="Q40" s="155"/>
      <c r="R40" s="157">
        <f>ABS(Q$37-E40)</f>
        <v>14</v>
      </c>
      <c r="S40" s="158"/>
      <c r="T40" s="156">
        <f>ABS(R40*P40)</f>
        <v>1199520</v>
      </c>
      <c r="U40" s="155"/>
      <c r="V40" s="85"/>
      <c r="W40" s="85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</row>
    <row r="41" spans="1:38" x14ac:dyDescent="0.2">
      <c r="A41" s="85"/>
      <c r="B41" s="52" t="s">
        <v>9</v>
      </c>
      <c r="C41" s="53">
        <f>S$6</f>
        <v>10</v>
      </c>
      <c r="D41" s="58" t="s">
        <v>8</v>
      </c>
      <c r="E41" s="113">
        <f>L$6</f>
        <v>9</v>
      </c>
      <c r="F41" s="62" t="s">
        <v>70</v>
      </c>
      <c r="G41" s="175">
        <f t="shared" ref="G41:G47" si="0">ABS(ROUND(IF(E41=0,0,((L$36-E41)/L$36)*C$10),6))</f>
        <v>2.2060000000000001E-3</v>
      </c>
      <c r="H41" s="176"/>
      <c r="I41" s="56" t="s">
        <v>53</v>
      </c>
      <c r="J41" s="149">
        <f t="shared" ref="J41:J47" si="1">ROUND(C$9*G41,0)</f>
        <v>4412</v>
      </c>
      <c r="K41" s="149"/>
      <c r="L41" s="110" t="str">
        <f t="shared" ref="L41:L47" si="2">IF(J41&gt;=A$10,"fluye","no fluye")</f>
        <v>fluye</v>
      </c>
      <c r="M41" s="49"/>
      <c r="N41" s="149">
        <f t="shared" ref="N41:N47" si="3">IF(J41&gt;A$10,A$10,J41)</f>
        <v>4200</v>
      </c>
      <c r="O41" s="148"/>
      <c r="P41" s="147">
        <f t="shared" ref="P41:P43" si="4">IF(U$35="a&lt;d",C41*N41,C41*N41-0.85*A$8*C41)</f>
        <v>42000</v>
      </c>
      <c r="Q41" s="148"/>
      <c r="R41" s="150">
        <f t="shared" ref="R41:R47" si="5">ABS(Q$37-E41)</f>
        <v>11</v>
      </c>
      <c r="S41" s="151"/>
      <c r="T41" s="147">
        <f t="shared" ref="T41:T47" si="6">ABS(R41*P41)</f>
        <v>462000</v>
      </c>
      <c r="U41" s="148"/>
      <c r="V41" s="85"/>
      <c r="W41" s="85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</row>
    <row r="42" spans="1:38" x14ac:dyDescent="0.2">
      <c r="A42" s="85"/>
      <c r="B42" s="52" t="s">
        <v>11</v>
      </c>
      <c r="C42" s="53">
        <f>S$7</f>
        <v>0</v>
      </c>
      <c r="D42" s="58" t="s">
        <v>10</v>
      </c>
      <c r="E42" s="113">
        <f>L$7</f>
        <v>0</v>
      </c>
      <c r="F42" s="62" t="s">
        <v>71</v>
      </c>
      <c r="G42" s="175">
        <f t="shared" si="0"/>
        <v>0</v>
      </c>
      <c r="H42" s="176"/>
      <c r="I42" s="56" t="s">
        <v>54</v>
      </c>
      <c r="J42" s="149">
        <f t="shared" si="1"/>
        <v>0</v>
      </c>
      <c r="K42" s="149"/>
      <c r="L42" s="110" t="str">
        <f t="shared" si="2"/>
        <v>no fluye</v>
      </c>
      <c r="M42" s="49"/>
      <c r="N42" s="149">
        <f t="shared" si="3"/>
        <v>0</v>
      </c>
      <c r="O42" s="148"/>
      <c r="P42" s="147">
        <f t="shared" si="4"/>
        <v>0</v>
      </c>
      <c r="Q42" s="148"/>
      <c r="R42" s="150">
        <f t="shared" si="5"/>
        <v>20</v>
      </c>
      <c r="S42" s="151"/>
      <c r="T42" s="147">
        <f t="shared" si="6"/>
        <v>0</v>
      </c>
      <c r="U42" s="148"/>
      <c r="V42" s="85"/>
      <c r="W42" s="85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</row>
    <row r="43" spans="1:38" x14ac:dyDescent="0.2">
      <c r="A43" s="85"/>
      <c r="B43" s="52" t="s">
        <v>13</v>
      </c>
      <c r="C43" s="53">
        <f>S$8</f>
        <v>0</v>
      </c>
      <c r="D43" s="58" t="s">
        <v>12</v>
      </c>
      <c r="E43" s="113">
        <f>L$8</f>
        <v>0</v>
      </c>
      <c r="F43" s="62" t="s">
        <v>69</v>
      </c>
      <c r="G43" s="175">
        <f t="shared" si="0"/>
        <v>0</v>
      </c>
      <c r="H43" s="176"/>
      <c r="I43" s="56" t="s">
        <v>55</v>
      </c>
      <c r="J43" s="149">
        <f t="shared" si="1"/>
        <v>0</v>
      </c>
      <c r="K43" s="149"/>
      <c r="L43" s="110" t="str">
        <f t="shared" si="2"/>
        <v>no fluye</v>
      </c>
      <c r="M43" s="49"/>
      <c r="N43" s="149">
        <f t="shared" si="3"/>
        <v>0</v>
      </c>
      <c r="O43" s="148"/>
      <c r="P43" s="147">
        <f t="shared" si="4"/>
        <v>0</v>
      </c>
      <c r="Q43" s="148"/>
      <c r="R43" s="150">
        <f t="shared" si="5"/>
        <v>20</v>
      </c>
      <c r="S43" s="151"/>
      <c r="T43" s="147">
        <f t="shared" si="6"/>
        <v>0</v>
      </c>
      <c r="U43" s="148"/>
      <c r="V43" s="85"/>
      <c r="W43" s="85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</row>
    <row r="44" spans="1:38" x14ac:dyDescent="0.2">
      <c r="A44" s="85"/>
      <c r="B44" s="52" t="s">
        <v>16</v>
      </c>
      <c r="C44" s="53">
        <f>S$13</f>
        <v>0</v>
      </c>
      <c r="D44" s="58" t="s">
        <v>14</v>
      </c>
      <c r="E44" s="113">
        <f>L$12</f>
        <v>0</v>
      </c>
      <c r="F44" s="62" t="s">
        <v>72</v>
      </c>
      <c r="G44" s="175">
        <f t="shared" si="0"/>
        <v>0</v>
      </c>
      <c r="H44" s="176"/>
      <c r="I44" s="56" t="s">
        <v>56</v>
      </c>
      <c r="J44" s="149">
        <f t="shared" si="1"/>
        <v>0</v>
      </c>
      <c r="K44" s="149"/>
      <c r="L44" s="110" t="str">
        <f t="shared" si="2"/>
        <v>no fluye</v>
      </c>
      <c r="M44" s="49"/>
      <c r="N44" s="149">
        <f t="shared" si="3"/>
        <v>0</v>
      </c>
      <c r="O44" s="148"/>
      <c r="P44" s="147">
        <f>-IF(U$35="a&lt;d",C44*N44,C44*N44-0.85*A$8*C44)</f>
        <v>0</v>
      </c>
      <c r="Q44" s="148"/>
      <c r="R44" s="150">
        <f t="shared" si="5"/>
        <v>20</v>
      </c>
      <c r="S44" s="151"/>
      <c r="T44" s="147">
        <f t="shared" si="6"/>
        <v>0</v>
      </c>
      <c r="U44" s="148"/>
      <c r="V44" s="85"/>
      <c r="W44" s="85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</row>
    <row r="45" spans="1:38" x14ac:dyDescent="0.2">
      <c r="A45" s="85"/>
      <c r="B45" s="52" t="s">
        <v>18</v>
      </c>
      <c r="C45" s="53">
        <f>S$14</f>
        <v>0</v>
      </c>
      <c r="D45" s="58" t="s">
        <v>15</v>
      </c>
      <c r="E45" s="113">
        <f>L$13</f>
        <v>0</v>
      </c>
      <c r="F45" s="62" t="s">
        <v>76</v>
      </c>
      <c r="G45" s="175">
        <f t="shared" si="0"/>
        <v>0</v>
      </c>
      <c r="H45" s="176"/>
      <c r="I45" s="56" t="s">
        <v>57</v>
      </c>
      <c r="J45" s="149">
        <f t="shared" si="1"/>
        <v>0</v>
      </c>
      <c r="K45" s="149"/>
      <c r="L45" s="110" t="str">
        <f t="shared" si="2"/>
        <v>no fluye</v>
      </c>
      <c r="M45" s="49"/>
      <c r="N45" s="149">
        <f t="shared" si="3"/>
        <v>0</v>
      </c>
      <c r="O45" s="148"/>
      <c r="P45" s="147">
        <f>-IF(U$35="a&lt;d",C45*N45,C45*N45-0.85*A$8*C45)</f>
        <v>0</v>
      </c>
      <c r="Q45" s="148"/>
      <c r="R45" s="150">
        <f t="shared" si="5"/>
        <v>20</v>
      </c>
      <c r="S45" s="151"/>
      <c r="T45" s="147">
        <f t="shared" si="6"/>
        <v>0</v>
      </c>
      <c r="U45" s="148"/>
      <c r="V45" s="85"/>
      <c r="W45" s="85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</row>
    <row r="46" spans="1:38" x14ac:dyDescent="0.2">
      <c r="A46" s="85"/>
      <c r="B46" s="52" t="s">
        <v>20</v>
      </c>
      <c r="C46" s="53">
        <f>S$15</f>
        <v>10</v>
      </c>
      <c r="D46" s="58" t="s">
        <v>17</v>
      </c>
      <c r="E46" s="113">
        <f>L$14</f>
        <v>31</v>
      </c>
      <c r="F46" s="62" t="s">
        <v>73</v>
      </c>
      <c r="G46" s="175">
        <f t="shared" si="0"/>
        <v>2.6499999999999999E-4</v>
      </c>
      <c r="H46" s="176"/>
      <c r="I46" s="56" t="s">
        <v>58</v>
      </c>
      <c r="J46" s="149">
        <f t="shared" si="1"/>
        <v>530</v>
      </c>
      <c r="K46" s="149"/>
      <c r="L46" s="110" t="str">
        <f t="shared" si="2"/>
        <v>no fluye</v>
      </c>
      <c r="M46" s="49"/>
      <c r="N46" s="149">
        <f t="shared" si="3"/>
        <v>530</v>
      </c>
      <c r="O46" s="148"/>
      <c r="P46" s="147">
        <f>-IF(U$35="a&lt;d",C46*N46,C46*N46-0.85*A$8*C46)</f>
        <v>-5300</v>
      </c>
      <c r="Q46" s="148"/>
      <c r="R46" s="150">
        <f t="shared" si="5"/>
        <v>11</v>
      </c>
      <c r="S46" s="151"/>
      <c r="T46" s="147">
        <f t="shared" si="6"/>
        <v>58300</v>
      </c>
      <c r="U46" s="148"/>
      <c r="V46" s="85"/>
      <c r="W46" s="85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</row>
    <row r="47" spans="1:38" ht="15" thickBot="1" x14ac:dyDescent="0.25">
      <c r="A47" s="85"/>
      <c r="B47" s="54" t="s">
        <v>22</v>
      </c>
      <c r="C47" s="55">
        <f>S$16</f>
        <v>20.399999999999999</v>
      </c>
      <c r="D47" s="59" t="s">
        <v>19</v>
      </c>
      <c r="E47" s="114">
        <f>L$15</f>
        <v>34</v>
      </c>
      <c r="F47" s="63" t="s">
        <v>74</v>
      </c>
      <c r="G47" s="177">
        <f t="shared" si="0"/>
        <v>0</v>
      </c>
      <c r="H47" s="178"/>
      <c r="I47" s="70" t="s">
        <v>59</v>
      </c>
      <c r="J47" s="144">
        <f t="shared" si="1"/>
        <v>0</v>
      </c>
      <c r="K47" s="144"/>
      <c r="L47" s="64" t="str">
        <f t="shared" si="2"/>
        <v>no fluye</v>
      </c>
      <c r="M47" s="65"/>
      <c r="N47" s="144">
        <f t="shared" si="3"/>
        <v>0</v>
      </c>
      <c r="O47" s="140"/>
      <c r="P47" s="139">
        <f>-IF(U$35="a&lt;d",C47*N47,C47*N47-0.85*A$8*C47)</f>
        <v>0</v>
      </c>
      <c r="Q47" s="140"/>
      <c r="R47" s="145">
        <f t="shared" si="5"/>
        <v>14</v>
      </c>
      <c r="S47" s="146"/>
      <c r="T47" s="173">
        <f t="shared" si="6"/>
        <v>0</v>
      </c>
      <c r="U47" s="174"/>
      <c r="V47" s="85"/>
      <c r="W47" s="85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</row>
    <row r="48" spans="1:38" ht="15.75" thickTop="1" thickBot="1" x14ac:dyDescent="0.25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171">
        <f>SUM(T40:U47)</f>
        <v>1719820</v>
      </c>
      <c r="U48" s="172"/>
      <c r="V48" s="85"/>
      <c r="W48" s="85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</row>
    <row r="49" spans="1:38" ht="15" thickTop="1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85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</row>
    <row r="50" spans="1:38" x14ac:dyDescent="0.2">
      <c r="A50" s="45"/>
      <c r="B50" s="85"/>
      <c r="C50" s="85"/>
      <c r="D50" s="85"/>
      <c r="E50" s="85"/>
      <c r="F50" s="85"/>
      <c r="G50" s="85"/>
      <c r="H50" s="85"/>
      <c r="I50" s="45"/>
      <c r="J50" s="85"/>
      <c r="K50" s="47" t="s">
        <v>37</v>
      </c>
      <c r="L50" s="137">
        <f>ROUND((Q36+SUM(P40:Q47))/1000,2)</f>
        <v>397.51</v>
      </c>
      <c r="M50" s="137"/>
      <c r="N50" s="46" t="s">
        <v>36</v>
      </c>
      <c r="O50" s="85"/>
      <c r="P50" s="47" t="s">
        <v>38</v>
      </c>
      <c r="Q50" s="138">
        <f>ROUND(0.7*L50,2)</f>
        <v>278.26</v>
      </c>
      <c r="R50" s="138"/>
      <c r="S50" s="46" t="s">
        <v>36</v>
      </c>
      <c r="T50" s="45"/>
      <c r="U50" s="45"/>
      <c r="V50" s="45"/>
      <c r="W50" s="85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</row>
    <row r="51" spans="1:38" x14ac:dyDescent="0.2">
      <c r="A51" s="45"/>
      <c r="B51" s="85"/>
      <c r="C51" s="85"/>
      <c r="D51" s="85"/>
      <c r="E51" s="85"/>
      <c r="F51" s="85"/>
      <c r="G51" s="85"/>
      <c r="H51" s="85"/>
      <c r="I51" s="85"/>
      <c r="J51" s="85"/>
      <c r="K51" s="47" t="s">
        <v>63</v>
      </c>
      <c r="L51" s="137">
        <f>ROUND(((Q37-Q35/2)*Q36+T48)/100000,2)</f>
        <v>32.47</v>
      </c>
      <c r="M51" s="137"/>
      <c r="N51" s="46" t="s">
        <v>36</v>
      </c>
      <c r="O51" s="85"/>
      <c r="P51" s="47" t="s">
        <v>39</v>
      </c>
      <c r="Q51" s="138">
        <f>ROUND(0.7*L51,2)</f>
        <v>22.73</v>
      </c>
      <c r="R51" s="138"/>
      <c r="S51" s="46" t="s">
        <v>40</v>
      </c>
      <c r="T51" s="45"/>
      <c r="U51" s="45"/>
      <c r="V51" s="45"/>
      <c r="W51" s="85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</row>
    <row r="52" spans="1:38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85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</row>
    <row r="53" spans="1:38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85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</row>
    <row r="54" spans="1:38" x14ac:dyDescent="0.2">
      <c r="A54" s="45"/>
      <c r="B54" s="136" t="s">
        <v>65</v>
      </c>
      <c r="C54" s="136"/>
      <c r="D54" s="136"/>
      <c r="E54" s="136"/>
      <c r="F54" s="136"/>
      <c r="G54" s="136"/>
      <c r="H54" s="136"/>
      <c r="I54" s="45"/>
      <c r="J54" s="38" t="s">
        <v>66</v>
      </c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85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</row>
    <row r="55" spans="1:38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85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</row>
    <row r="56" spans="1:38" ht="15.75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8" t="s">
        <v>42</v>
      </c>
      <c r="L56" s="160">
        <v>-1</v>
      </c>
      <c r="M56" s="160"/>
      <c r="N56" s="85"/>
      <c r="O56" s="85"/>
      <c r="P56" s="48" t="s">
        <v>45</v>
      </c>
      <c r="Q56" s="160">
        <f>C$12*L57</f>
        <v>17</v>
      </c>
      <c r="R56" s="160"/>
      <c r="S56" s="40" t="s">
        <v>68</v>
      </c>
      <c r="T56" s="85"/>
      <c r="U56" s="166" t="str">
        <f>IF(Q56&lt;L58,"a&lt;d","a&gt;d")</f>
        <v>a&lt;d</v>
      </c>
      <c r="V56" s="166"/>
      <c r="W56" s="85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</row>
    <row r="57" spans="1:38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8" t="s">
        <v>43</v>
      </c>
      <c r="L57" s="160">
        <f>(0.003/(0.003-L56*C11)*C13)</f>
        <v>20</v>
      </c>
      <c r="M57" s="160"/>
      <c r="N57" s="40" t="s">
        <v>68</v>
      </c>
      <c r="O57" s="85"/>
      <c r="P57" s="48" t="s">
        <v>46</v>
      </c>
      <c r="Q57" s="169">
        <f>ROUND(0.85*A8*C12*L57*C4,0)</f>
        <v>161840</v>
      </c>
      <c r="R57" s="170"/>
      <c r="S57" s="68" t="s">
        <v>64</v>
      </c>
      <c r="T57" s="85"/>
      <c r="U57" s="85"/>
      <c r="V57" s="85"/>
      <c r="W57" s="85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</row>
    <row r="58" spans="1:38" x14ac:dyDescent="0.2">
      <c r="A58" s="45"/>
      <c r="B58" s="44"/>
      <c r="C58" s="40"/>
      <c r="D58" s="84"/>
      <c r="E58" s="84"/>
      <c r="F58" s="40"/>
      <c r="G58" s="44"/>
      <c r="H58" s="44"/>
      <c r="I58" s="45"/>
      <c r="J58" s="45"/>
      <c r="K58" s="48" t="s">
        <v>44</v>
      </c>
      <c r="L58" s="159">
        <f>L37</f>
        <v>34</v>
      </c>
      <c r="M58" s="160"/>
      <c r="N58" s="40" t="s">
        <v>68</v>
      </c>
      <c r="O58" s="85"/>
      <c r="P58" s="48" t="s">
        <v>60</v>
      </c>
      <c r="Q58" s="160">
        <f>Q37</f>
        <v>20</v>
      </c>
      <c r="R58" s="160"/>
      <c r="S58" s="40" t="s">
        <v>68</v>
      </c>
      <c r="T58" s="85"/>
      <c r="U58" s="85"/>
      <c r="V58" s="85"/>
      <c r="W58" s="85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</row>
    <row r="59" spans="1:38" ht="15" thickBot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85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</row>
    <row r="60" spans="1:38" ht="15.75" thickTop="1" thickBot="1" x14ac:dyDescent="0.25">
      <c r="A60" s="45"/>
      <c r="B60" s="66" t="s">
        <v>49</v>
      </c>
      <c r="C60" s="116"/>
      <c r="D60" s="161" t="s">
        <v>48</v>
      </c>
      <c r="E60" s="162"/>
      <c r="F60" s="163" t="s">
        <v>50</v>
      </c>
      <c r="G60" s="152"/>
      <c r="H60" s="153"/>
      <c r="I60" s="163" t="s">
        <v>51</v>
      </c>
      <c r="J60" s="152"/>
      <c r="K60" s="153"/>
      <c r="L60" s="71"/>
      <c r="M60" s="71"/>
      <c r="N60" s="163" t="s">
        <v>51</v>
      </c>
      <c r="O60" s="153"/>
      <c r="P60" s="163" t="s">
        <v>67</v>
      </c>
      <c r="Q60" s="153"/>
      <c r="R60" s="163" t="s">
        <v>61</v>
      </c>
      <c r="S60" s="153"/>
      <c r="T60" s="152" t="s">
        <v>62</v>
      </c>
      <c r="U60" s="153"/>
      <c r="V60" s="45"/>
      <c r="W60" s="85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</row>
    <row r="61" spans="1:38" ht="15" thickTop="1" x14ac:dyDescent="0.2">
      <c r="A61" s="45"/>
      <c r="B61" s="50" t="s">
        <v>5</v>
      </c>
      <c r="C61" s="51">
        <f>S$5</f>
        <v>20.399999999999999</v>
      </c>
      <c r="D61" s="57" t="s">
        <v>4</v>
      </c>
      <c r="E61" s="115">
        <f>L$5</f>
        <v>6</v>
      </c>
      <c r="F61" s="60" t="s">
        <v>75</v>
      </c>
      <c r="G61" s="154">
        <f>ABS(ROUND(IF(E61=0,0,((L$57-E61)/L$57)*C$10),6))</f>
        <v>2.0999999999999999E-3</v>
      </c>
      <c r="H61" s="155"/>
      <c r="I61" s="60" t="s">
        <v>52</v>
      </c>
      <c r="J61" s="154">
        <f>ROUND(C$9*G61,0)</f>
        <v>4200</v>
      </c>
      <c r="K61" s="154"/>
      <c r="L61" s="61" t="str">
        <f>IF(J61&gt;=A$10,"fluye","no fluye")</f>
        <v>fluye</v>
      </c>
      <c r="M61" s="79"/>
      <c r="N61" s="154">
        <f>IF(J61&gt;A$10,A$10,J61)</f>
        <v>4200</v>
      </c>
      <c r="O61" s="155"/>
      <c r="P61" s="156">
        <f>IF(U$56="a&lt;d",C61*N61,C61*N61-0.85*A$8*C61)</f>
        <v>85680</v>
      </c>
      <c r="Q61" s="155"/>
      <c r="R61" s="157">
        <f>ABS(Q$58-E61)</f>
        <v>14</v>
      </c>
      <c r="S61" s="158"/>
      <c r="T61" s="156">
        <f>ABS(R61*P61)</f>
        <v>1199520</v>
      </c>
      <c r="U61" s="155"/>
      <c r="V61" s="45"/>
      <c r="W61" s="85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</row>
    <row r="62" spans="1:38" x14ac:dyDescent="0.2">
      <c r="A62" s="45"/>
      <c r="B62" s="52" t="s">
        <v>9</v>
      </c>
      <c r="C62" s="53">
        <f>S$6</f>
        <v>10</v>
      </c>
      <c r="D62" s="58" t="s">
        <v>8</v>
      </c>
      <c r="E62" s="113">
        <f>L$6</f>
        <v>9</v>
      </c>
      <c r="F62" s="62" t="s">
        <v>70</v>
      </c>
      <c r="G62" s="149">
        <f t="shared" ref="G62:G68" si="7">ABS(ROUND(IF(E62=0,0,((L$57-E62)/L$57)*C$10),6))</f>
        <v>1.65E-3</v>
      </c>
      <c r="H62" s="148"/>
      <c r="I62" s="62" t="s">
        <v>53</v>
      </c>
      <c r="J62" s="149">
        <f t="shared" ref="J62:J68" si="8">ROUND(C$9*G62,0)</f>
        <v>3300</v>
      </c>
      <c r="K62" s="149"/>
      <c r="L62" s="110" t="str">
        <f t="shared" ref="L62:L68" si="9">IF(J62&gt;=A$10,"fluye","no fluye")</f>
        <v>no fluye</v>
      </c>
      <c r="M62" s="72"/>
      <c r="N62" s="149">
        <f t="shared" ref="N62:N68" si="10">IF(J62&gt;A$10,A$10,J62)</f>
        <v>3300</v>
      </c>
      <c r="O62" s="148"/>
      <c r="P62" s="147">
        <f t="shared" ref="P62:P64" si="11">IF(U$56="a&lt;d",C62*N62,C62*N62-0.85*A$8*C62)</f>
        <v>33000</v>
      </c>
      <c r="Q62" s="148"/>
      <c r="R62" s="150">
        <f t="shared" ref="R62:R68" si="12">ABS(Q$58-E62)</f>
        <v>11</v>
      </c>
      <c r="S62" s="151"/>
      <c r="T62" s="147">
        <f t="shared" ref="T62:T68" si="13">ABS(R62*P62)</f>
        <v>363000</v>
      </c>
      <c r="U62" s="148"/>
      <c r="V62" s="45"/>
      <c r="W62" s="85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</row>
    <row r="63" spans="1:38" x14ac:dyDescent="0.2">
      <c r="A63" s="45"/>
      <c r="B63" s="52" t="s">
        <v>11</v>
      </c>
      <c r="C63" s="53">
        <f>S$7</f>
        <v>0</v>
      </c>
      <c r="D63" s="58" t="s">
        <v>10</v>
      </c>
      <c r="E63" s="113">
        <f>L$7</f>
        <v>0</v>
      </c>
      <c r="F63" s="62" t="s">
        <v>71</v>
      </c>
      <c r="G63" s="149">
        <f t="shared" si="7"/>
        <v>0</v>
      </c>
      <c r="H63" s="148"/>
      <c r="I63" s="62" t="s">
        <v>54</v>
      </c>
      <c r="J63" s="149">
        <f t="shared" si="8"/>
        <v>0</v>
      </c>
      <c r="K63" s="149"/>
      <c r="L63" s="110" t="str">
        <f t="shared" si="9"/>
        <v>no fluye</v>
      </c>
      <c r="M63" s="72"/>
      <c r="N63" s="149">
        <f t="shared" si="10"/>
        <v>0</v>
      </c>
      <c r="O63" s="148"/>
      <c r="P63" s="147">
        <f t="shared" si="11"/>
        <v>0</v>
      </c>
      <c r="Q63" s="148"/>
      <c r="R63" s="150">
        <f t="shared" si="12"/>
        <v>20</v>
      </c>
      <c r="S63" s="151"/>
      <c r="T63" s="147">
        <f t="shared" si="13"/>
        <v>0</v>
      </c>
      <c r="U63" s="148"/>
      <c r="V63" s="45"/>
      <c r="W63" s="85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</row>
    <row r="64" spans="1:38" x14ac:dyDescent="0.2">
      <c r="A64" s="45"/>
      <c r="B64" s="52" t="s">
        <v>13</v>
      </c>
      <c r="C64" s="53">
        <f>S$8</f>
        <v>0</v>
      </c>
      <c r="D64" s="58" t="s">
        <v>12</v>
      </c>
      <c r="E64" s="113">
        <f>L$8</f>
        <v>0</v>
      </c>
      <c r="F64" s="62" t="s">
        <v>69</v>
      </c>
      <c r="G64" s="149">
        <f t="shared" si="7"/>
        <v>0</v>
      </c>
      <c r="H64" s="148"/>
      <c r="I64" s="62" t="s">
        <v>55</v>
      </c>
      <c r="J64" s="149">
        <f t="shared" si="8"/>
        <v>0</v>
      </c>
      <c r="K64" s="149"/>
      <c r="L64" s="110" t="str">
        <f t="shared" si="9"/>
        <v>no fluye</v>
      </c>
      <c r="M64" s="72"/>
      <c r="N64" s="149">
        <f t="shared" si="10"/>
        <v>0</v>
      </c>
      <c r="O64" s="148"/>
      <c r="P64" s="147">
        <f t="shared" si="11"/>
        <v>0</v>
      </c>
      <c r="Q64" s="148"/>
      <c r="R64" s="150">
        <f t="shared" si="12"/>
        <v>20</v>
      </c>
      <c r="S64" s="151"/>
      <c r="T64" s="147">
        <f t="shared" si="13"/>
        <v>0</v>
      </c>
      <c r="U64" s="148"/>
      <c r="V64" s="45"/>
      <c r="W64" s="85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</row>
    <row r="65" spans="1:38" x14ac:dyDescent="0.2">
      <c r="A65" s="45"/>
      <c r="B65" s="52" t="s">
        <v>16</v>
      </c>
      <c r="C65" s="53">
        <f>S$13</f>
        <v>0</v>
      </c>
      <c r="D65" s="58" t="s">
        <v>14</v>
      </c>
      <c r="E65" s="113">
        <f>L$12</f>
        <v>0</v>
      </c>
      <c r="F65" s="62" t="s">
        <v>72</v>
      </c>
      <c r="G65" s="149">
        <f t="shared" si="7"/>
        <v>0</v>
      </c>
      <c r="H65" s="148"/>
      <c r="I65" s="62" t="s">
        <v>56</v>
      </c>
      <c r="J65" s="149">
        <f t="shared" si="8"/>
        <v>0</v>
      </c>
      <c r="K65" s="149"/>
      <c r="L65" s="110" t="str">
        <f t="shared" si="9"/>
        <v>no fluye</v>
      </c>
      <c r="M65" s="72"/>
      <c r="N65" s="149">
        <f t="shared" si="10"/>
        <v>0</v>
      </c>
      <c r="O65" s="148"/>
      <c r="P65" s="147">
        <f>-IF(U$56="a&lt;d",C65*N65,C65*N65-0.85*A$8*C65)</f>
        <v>0</v>
      </c>
      <c r="Q65" s="148"/>
      <c r="R65" s="150">
        <f t="shared" si="12"/>
        <v>20</v>
      </c>
      <c r="S65" s="151"/>
      <c r="T65" s="147">
        <f t="shared" si="13"/>
        <v>0</v>
      </c>
      <c r="U65" s="148"/>
      <c r="V65" s="45"/>
      <c r="W65" s="85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</row>
    <row r="66" spans="1:38" x14ac:dyDescent="0.2">
      <c r="A66" s="45"/>
      <c r="B66" s="52" t="s">
        <v>18</v>
      </c>
      <c r="C66" s="53">
        <f>S$14</f>
        <v>0</v>
      </c>
      <c r="D66" s="58" t="s">
        <v>15</v>
      </c>
      <c r="E66" s="113">
        <f>L$13</f>
        <v>0</v>
      </c>
      <c r="F66" s="62" t="s">
        <v>76</v>
      </c>
      <c r="G66" s="149">
        <f t="shared" si="7"/>
        <v>0</v>
      </c>
      <c r="H66" s="148"/>
      <c r="I66" s="62" t="s">
        <v>57</v>
      </c>
      <c r="J66" s="149">
        <f t="shared" si="8"/>
        <v>0</v>
      </c>
      <c r="K66" s="149"/>
      <c r="L66" s="110" t="str">
        <f t="shared" si="9"/>
        <v>no fluye</v>
      </c>
      <c r="M66" s="72"/>
      <c r="N66" s="149">
        <f t="shared" si="10"/>
        <v>0</v>
      </c>
      <c r="O66" s="148"/>
      <c r="P66" s="147">
        <f>-IF(U$56="a&lt;d",C66*N66,C66*N66-0.85*A$8*C66)</f>
        <v>0</v>
      </c>
      <c r="Q66" s="148"/>
      <c r="R66" s="150">
        <f t="shared" si="12"/>
        <v>20</v>
      </c>
      <c r="S66" s="151"/>
      <c r="T66" s="147">
        <f t="shared" si="13"/>
        <v>0</v>
      </c>
      <c r="U66" s="148"/>
      <c r="V66" s="45"/>
      <c r="W66" s="85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</row>
    <row r="67" spans="1:38" x14ac:dyDescent="0.2">
      <c r="A67" s="45"/>
      <c r="B67" s="52" t="s">
        <v>20</v>
      </c>
      <c r="C67" s="53">
        <f>S$15</f>
        <v>10</v>
      </c>
      <c r="D67" s="58" t="s">
        <v>17</v>
      </c>
      <c r="E67" s="113">
        <f>L$14</f>
        <v>31</v>
      </c>
      <c r="F67" s="62" t="s">
        <v>73</v>
      </c>
      <c r="G67" s="149">
        <f t="shared" si="7"/>
        <v>1.65E-3</v>
      </c>
      <c r="H67" s="148"/>
      <c r="I67" s="62" t="s">
        <v>58</v>
      </c>
      <c r="J67" s="149">
        <f t="shared" si="8"/>
        <v>3300</v>
      </c>
      <c r="K67" s="149"/>
      <c r="L67" s="110" t="str">
        <f t="shared" si="9"/>
        <v>no fluye</v>
      </c>
      <c r="M67" s="72"/>
      <c r="N67" s="149">
        <f t="shared" si="10"/>
        <v>3300</v>
      </c>
      <c r="O67" s="148"/>
      <c r="P67" s="147">
        <f>-IF(U$56="a&lt;d",C67*N67,C67*N67-0.85*A$8*C67)</f>
        <v>-33000</v>
      </c>
      <c r="Q67" s="148"/>
      <c r="R67" s="150">
        <f t="shared" si="12"/>
        <v>11</v>
      </c>
      <c r="S67" s="151"/>
      <c r="T67" s="147">
        <f t="shared" si="13"/>
        <v>363000</v>
      </c>
      <c r="U67" s="148"/>
      <c r="V67" s="45"/>
      <c r="W67" s="85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</row>
    <row r="68" spans="1:38" ht="15" thickBot="1" x14ac:dyDescent="0.25">
      <c r="A68" s="45"/>
      <c r="B68" s="54" t="s">
        <v>22</v>
      </c>
      <c r="C68" s="55">
        <f>S$16</f>
        <v>20.399999999999999</v>
      </c>
      <c r="D68" s="59" t="s">
        <v>19</v>
      </c>
      <c r="E68" s="114">
        <f>L$15</f>
        <v>34</v>
      </c>
      <c r="F68" s="63" t="s">
        <v>74</v>
      </c>
      <c r="G68" s="144">
        <f t="shared" si="7"/>
        <v>2.0999999999999999E-3</v>
      </c>
      <c r="H68" s="140"/>
      <c r="I68" s="63" t="s">
        <v>59</v>
      </c>
      <c r="J68" s="144">
        <f t="shared" si="8"/>
        <v>4200</v>
      </c>
      <c r="K68" s="144"/>
      <c r="L68" s="64" t="str">
        <f t="shared" si="9"/>
        <v>fluye</v>
      </c>
      <c r="M68" s="78"/>
      <c r="N68" s="144">
        <f t="shared" si="10"/>
        <v>4200</v>
      </c>
      <c r="O68" s="140"/>
      <c r="P68" s="139">
        <f>-IF(U$56="a&lt;d",C68*N68,C68*N68-0.85*A$8*C68)</f>
        <v>-85680</v>
      </c>
      <c r="Q68" s="140"/>
      <c r="R68" s="145">
        <f t="shared" si="12"/>
        <v>14</v>
      </c>
      <c r="S68" s="146"/>
      <c r="T68" s="139">
        <f t="shared" si="13"/>
        <v>1199520</v>
      </c>
      <c r="U68" s="140"/>
      <c r="V68" s="45"/>
      <c r="W68" s="85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</row>
    <row r="69" spans="1:38" ht="15.75" thickTop="1" thickBot="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171">
        <f>SUM(T61:U68)</f>
        <v>3125040</v>
      </c>
      <c r="U69" s="172"/>
      <c r="V69" s="45"/>
      <c r="W69" s="85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</row>
    <row r="70" spans="1:38" ht="15" thickTop="1" x14ac:dyDescent="0.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85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</row>
    <row r="71" spans="1:38" x14ac:dyDescent="0.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7" t="s">
        <v>37</v>
      </c>
      <c r="L71" s="137">
        <f>ROUND((Q57+SUM(P61:Q68))/1000,2)</f>
        <v>161.84</v>
      </c>
      <c r="M71" s="137"/>
      <c r="N71" s="46" t="s">
        <v>36</v>
      </c>
      <c r="O71" s="45"/>
      <c r="P71" s="47" t="s">
        <v>38</v>
      </c>
      <c r="Q71" s="138">
        <f>ROUND(0.7*L71,2)</f>
        <v>113.29</v>
      </c>
      <c r="R71" s="138"/>
      <c r="S71" s="46" t="s">
        <v>36</v>
      </c>
      <c r="T71" s="45"/>
      <c r="U71" s="45"/>
      <c r="V71" s="45"/>
      <c r="W71" s="85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</row>
    <row r="72" spans="1:38" x14ac:dyDescent="0.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7" t="s">
        <v>63</v>
      </c>
      <c r="L72" s="137">
        <f>ROUND(((Q58-Q56/2)*Q57+T69)/100000,2)</f>
        <v>49.86</v>
      </c>
      <c r="M72" s="137"/>
      <c r="N72" s="46" t="s">
        <v>36</v>
      </c>
      <c r="O72" s="45"/>
      <c r="P72" s="47" t="s">
        <v>39</v>
      </c>
      <c r="Q72" s="138">
        <f>ROUND(0.7*L72,2)</f>
        <v>34.9</v>
      </c>
      <c r="R72" s="138"/>
      <c r="S72" s="46" t="s">
        <v>40</v>
      </c>
      <c r="T72" s="45"/>
      <c r="U72" s="45"/>
      <c r="V72" s="45"/>
      <c r="W72" s="85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</row>
    <row r="73" spans="1:38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85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</row>
    <row r="74" spans="1:38" x14ac:dyDescent="0.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U74" s="45"/>
      <c r="V74" s="45"/>
      <c r="W74" s="85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</row>
    <row r="75" spans="1:38" x14ac:dyDescent="0.2">
      <c r="A75" s="45"/>
      <c r="B75" s="136" t="s">
        <v>77</v>
      </c>
      <c r="C75" s="136"/>
      <c r="D75" s="136"/>
      <c r="E75" s="136"/>
      <c r="F75" s="136"/>
      <c r="G75" s="136"/>
      <c r="H75" s="136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85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</row>
    <row r="76" spans="1:38" x14ac:dyDescent="0.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85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</row>
    <row r="77" spans="1:38" ht="15.75" x14ac:dyDescent="0.25">
      <c r="A77" s="45"/>
      <c r="B77" s="45"/>
      <c r="C77" s="48" t="s">
        <v>78</v>
      </c>
      <c r="D77" s="168">
        <f>ROUND(0.1*A8*C22/1000,2)</f>
        <v>44.8</v>
      </c>
      <c r="E77" s="168"/>
      <c r="F77" s="46" t="s">
        <v>36</v>
      </c>
      <c r="G77" s="85"/>
      <c r="H77" s="45"/>
      <c r="I77" s="45"/>
      <c r="J77" s="45"/>
      <c r="K77" s="73" t="s">
        <v>43</v>
      </c>
      <c r="L77" s="164">
        <v>13.14</v>
      </c>
      <c r="M77" s="165"/>
      <c r="N77" s="40" t="s">
        <v>68</v>
      </c>
      <c r="O77" s="85"/>
      <c r="P77" s="48" t="s">
        <v>45</v>
      </c>
      <c r="Q77" s="160">
        <f>ROUND(C$12*L77,2)</f>
        <v>11.17</v>
      </c>
      <c r="R77" s="160"/>
      <c r="S77" s="40" t="s">
        <v>68</v>
      </c>
      <c r="T77" s="85"/>
      <c r="U77" s="166" t="str">
        <f>IF(Q77&lt;L78,"a&lt;d","a&gt;d")</f>
        <v>a&lt;d</v>
      </c>
      <c r="V77" s="166"/>
      <c r="W77" s="85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</row>
    <row r="78" spans="1:38" x14ac:dyDescent="0.2">
      <c r="A78" s="45"/>
      <c r="B78" s="45"/>
      <c r="C78" s="74" t="s">
        <v>37</v>
      </c>
      <c r="D78" s="167">
        <f>D77/0.7</f>
        <v>64</v>
      </c>
      <c r="E78" s="167"/>
      <c r="F78" s="75" t="s">
        <v>36</v>
      </c>
      <c r="G78" s="45"/>
      <c r="H78" s="45"/>
      <c r="I78" s="45"/>
      <c r="J78" s="45"/>
      <c r="K78" s="48" t="s">
        <v>44</v>
      </c>
      <c r="L78" s="159">
        <f>L58</f>
        <v>34</v>
      </c>
      <c r="M78" s="160"/>
      <c r="N78" s="40" t="s">
        <v>68</v>
      </c>
      <c r="O78" s="85"/>
      <c r="P78" s="48" t="s">
        <v>46</v>
      </c>
      <c r="Q78" s="169">
        <f>ROUND(0.85*A8*C12*L77*C4,0)</f>
        <v>106329</v>
      </c>
      <c r="R78" s="170"/>
      <c r="S78" s="68" t="s">
        <v>64</v>
      </c>
      <c r="T78" s="85"/>
      <c r="U78" s="85"/>
      <c r="V78" s="85"/>
      <c r="W78" s="85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</row>
    <row r="79" spans="1:38" x14ac:dyDescent="0.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85"/>
      <c r="L79" s="85"/>
      <c r="M79" s="85"/>
      <c r="N79" s="85"/>
      <c r="O79" s="85"/>
      <c r="P79" s="48" t="s">
        <v>60</v>
      </c>
      <c r="Q79" s="160">
        <f>Q58</f>
        <v>20</v>
      </c>
      <c r="R79" s="160"/>
      <c r="S79" s="40" t="s">
        <v>68</v>
      </c>
      <c r="T79" s="85"/>
      <c r="U79" s="85"/>
      <c r="V79" s="85"/>
      <c r="W79" s="85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</row>
    <row r="80" spans="1:38" ht="15" thickBo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85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</row>
    <row r="81" spans="1:38" ht="15.75" thickTop="1" thickBot="1" x14ac:dyDescent="0.25">
      <c r="A81" s="45"/>
      <c r="B81" s="66" t="s">
        <v>49</v>
      </c>
      <c r="C81" s="116"/>
      <c r="D81" s="161" t="s">
        <v>48</v>
      </c>
      <c r="E81" s="162"/>
      <c r="F81" s="163" t="s">
        <v>50</v>
      </c>
      <c r="G81" s="152"/>
      <c r="H81" s="153"/>
      <c r="I81" s="163" t="s">
        <v>51</v>
      </c>
      <c r="J81" s="152"/>
      <c r="K81" s="153"/>
      <c r="L81" s="71"/>
      <c r="M81" s="71"/>
      <c r="N81" s="163" t="s">
        <v>51</v>
      </c>
      <c r="O81" s="153"/>
      <c r="P81" s="163" t="s">
        <v>67</v>
      </c>
      <c r="Q81" s="153"/>
      <c r="R81" s="163" t="s">
        <v>61</v>
      </c>
      <c r="S81" s="153"/>
      <c r="T81" s="152" t="s">
        <v>62</v>
      </c>
      <c r="U81" s="153"/>
      <c r="V81" s="45"/>
      <c r="W81" s="85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</row>
    <row r="82" spans="1:38" ht="15" thickTop="1" x14ac:dyDescent="0.2">
      <c r="A82" s="45"/>
      <c r="B82" s="50" t="s">
        <v>5</v>
      </c>
      <c r="C82" s="51">
        <f>S$5</f>
        <v>20.399999999999999</v>
      </c>
      <c r="D82" s="57" t="s">
        <v>4</v>
      </c>
      <c r="E82" s="115">
        <f>L$5</f>
        <v>6</v>
      </c>
      <c r="F82" s="60" t="s">
        <v>75</v>
      </c>
      <c r="G82" s="154">
        <f>ABS(ROUND(IF(E82=0,0,((L$77-E82)/L$77)*C$10),6))</f>
        <v>1.6299999999999999E-3</v>
      </c>
      <c r="H82" s="155"/>
      <c r="I82" s="60" t="s">
        <v>52</v>
      </c>
      <c r="J82" s="154">
        <f>ROUND(C$9*G82,0)</f>
        <v>3260</v>
      </c>
      <c r="K82" s="154"/>
      <c r="L82" s="61" t="str">
        <f>IF(J82&gt;=A$10,"fluye","no fluye")</f>
        <v>no fluye</v>
      </c>
      <c r="M82" s="79"/>
      <c r="N82" s="154">
        <f>IF(J82&gt;A$10,A$10,J82)</f>
        <v>3260</v>
      </c>
      <c r="O82" s="155"/>
      <c r="P82" s="156">
        <f>IF(U$56="a&lt;d",C82*N82,C82*N82-0.85*A$8*C82)</f>
        <v>66504</v>
      </c>
      <c r="Q82" s="155"/>
      <c r="R82" s="157">
        <f>ABS(Q$79-E82)</f>
        <v>14</v>
      </c>
      <c r="S82" s="158"/>
      <c r="T82" s="156">
        <f>ABS(R82*P82)</f>
        <v>931056</v>
      </c>
      <c r="U82" s="155"/>
      <c r="V82" s="45"/>
      <c r="W82" s="85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</row>
    <row r="83" spans="1:38" x14ac:dyDescent="0.2">
      <c r="A83" s="45"/>
      <c r="B83" s="52" t="s">
        <v>9</v>
      </c>
      <c r="C83" s="53">
        <f>S$6</f>
        <v>10</v>
      </c>
      <c r="D83" s="58" t="s">
        <v>8</v>
      </c>
      <c r="E83" s="113">
        <f>L$6</f>
        <v>9</v>
      </c>
      <c r="F83" s="62" t="s">
        <v>70</v>
      </c>
      <c r="G83" s="149">
        <f t="shared" ref="G83:G89" si="14">ABS(ROUND(IF(E83=0,0,((L$77-E83)/L$77)*C$10),6))</f>
        <v>9.4499999999999998E-4</v>
      </c>
      <c r="H83" s="148"/>
      <c r="I83" s="62" t="s">
        <v>53</v>
      </c>
      <c r="J83" s="149">
        <f t="shared" ref="J83:J89" si="15">ROUND(C$9*G83,0)</f>
        <v>1890</v>
      </c>
      <c r="K83" s="149"/>
      <c r="L83" s="110" t="str">
        <f t="shared" ref="L83:L89" si="16">IF(J83&gt;=A$10,"fluye","no fluye")</f>
        <v>no fluye</v>
      </c>
      <c r="M83" s="72"/>
      <c r="N83" s="149">
        <f t="shared" ref="N83:N89" si="17">IF(J83&gt;A$10,A$10,J83)</f>
        <v>1890</v>
      </c>
      <c r="O83" s="148"/>
      <c r="P83" s="147">
        <f t="shared" ref="P83:P85" si="18">IF(U$56="a&lt;d",C83*N83,C83*N83-0.85*A$8*C83)</f>
        <v>18900</v>
      </c>
      <c r="Q83" s="148"/>
      <c r="R83" s="150">
        <f t="shared" ref="R83:R89" si="19">ABS(Q$79-E83)</f>
        <v>11</v>
      </c>
      <c r="S83" s="151"/>
      <c r="T83" s="147">
        <f t="shared" ref="T83:T89" si="20">ABS(R83*P83)</f>
        <v>207900</v>
      </c>
      <c r="U83" s="148"/>
      <c r="V83" s="45"/>
      <c r="W83" s="85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</row>
    <row r="84" spans="1:38" x14ac:dyDescent="0.2">
      <c r="A84" s="45"/>
      <c r="B84" s="52" t="s">
        <v>11</v>
      </c>
      <c r="C84" s="53">
        <f>S$7</f>
        <v>0</v>
      </c>
      <c r="D84" s="58" t="s">
        <v>10</v>
      </c>
      <c r="E84" s="113">
        <f>L$7</f>
        <v>0</v>
      </c>
      <c r="F84" s="62" t="s">
        <v>71</v>
      </c>
      <c r="G84" s="149">
        <f t="shared" si="14"/>
        <v>0</v>
      </c>
      <c r="H84" s="148"/>
      <c r="I84" s="62" t="s">
        <v>54</v>
      </c>
      <c r="J84" s="149">
        <f t="shared" si="15"/>
        <v>0</v>
      </c>
      <c r="K84" s="149"/>
      <c r="L84" s="110" t="str">
        <f t="shared" si="16"/>
        <v>no fluye</v>
      </c>
      <c r="M84" s="72"/>
      <c r="N84" s="149">
        <f t="shared" si="17"/>
        <v>0</v>
      </c>
      <c r="O84" s="148"/>
      <c r="P84" s="147">
        <f t="shared" si="18"/>
        <v>0</v>
      </c>
      <c r="Q84" s="148"/>
      <c r="R84" s="150">
        <f t="shared" si="19"/>
        <v>20</v>
      </c>
      <c r="S84" s="151"/>
      <c r="T84" s="147">
        <f t="shared" si="20"/>
        <v>0</v>
      </c>
      <c r="U84" s="148"/>
      <c r="V84" s="45"/>
      <c r="W84" s="85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</row>
    <row r="85" spans="1:38" x14ac:dyDescent="0.2">
      <c r="A85" s="45"/>
      <c r="B85" s="52" t="s">
        <v>13</v>
      </c>
      <c r="C85" s="53">
        <f>S$8</f>
        <v>0</v>
      </c>
      <c r="D85" s="58" t="s">
        <v>12</v>
      </c>
      <c r="E85" s="113">
        <f>L$8</f>
        <v>0</v>
      </c>
      <c r="F85" s="62" t="s">
        <v>69</v>
      </c>
      <c r="G85" s="149">
        <f t="shared" si="14"/>
        <v>0</v>
      </c>
      <c r="H85" s="148"/>
      <c r="I85" s="62" t="s">
        <v>55</v>
      </c>
      <c r="J85" s="149">
        <f t="shared" si="15"/>
        <v>0</v>
      </c>
      <c r="K85" s="149"/>
      <c r="L85" s="110" t="str">
        <f t="shared" si="16"/>
        <v>no fluye</v>
      </c>
      <c r="M85" s="72"/>
      <c r="N85" s="149">
        <f t="shared" si="17"/>
        <v>0</v>
      </c>
      <c r="O85" s="148"/>
      <c r="P85" s="147">
        <f t="shared" si="18"/>
        <v>0</v>
      </c>
      <c r="Q85" s="148"/>
      <c r="R85" s="150">
        <f t="shared" si="19"/>
        <v>20</v>
      </c>
      <c r="S85" s="151"/>
      <c r="T85" s="147">
        <f t="shared" si="20"/>
        <v>0</v>
      </c>
      <c r="U85" s="148"/>
      <c r="V85" s="45"/>
      <c r="W85" s="85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</row>
    <row r="86" spans="1:38" x14ac:dyDescent="0.2">
      <c r="A86" s="45"/>
      <c r="B86" s="52" t="s">
        <v>16</v>
      </c>
      <c r="C86" s="53">
        <f>S$13</f>
        <v>0</v>
      </c>
      <c r="D86" s="58" t="s">
        <v>14</v>
      </c>
      <c r="E86" s="113">
        <f>L$12</f>
        <v>0</v>
      </c>
      <c r="F86" s="62" t="s">
        <v>72</v>
      </c>
      <c r="G86" s="149">
        <f t="shared" si="14"/>
        <v>0</v>
      </c>
      <c r="H86" s="148"/>
      <c r="I86" s="62" t="s">
        <v>56</v>
      </c>
      <c r="J86" s="149">
        <f t="shared" si="15"/>
        <v>0</v>
      </c>
      <c r="K86" s="149"/>
      <c r="L86" s="110" t="str">
        <f t="shared" si="16"/>
        <v>no fluye</v>
      </c>
      <c r="M86" s="72"/>
      <c r="N86" s="149">
        <f t="shared" si="17"/>
        <v>0</v>
      </c>
      <c r="O86" s="148"/>
      <c r="P86" s="147">
        <f>-IF(U$56="a&lt;d",C86*N86,C86*N86-0.85*A$8*C86)</f>
        <v>0</v>
      </c>
      <c r="Q86" s="148"/>
      <c r="R86" s="150">
        <f t="shared" si="19"/>
        <v>20</v>
      </c>
      <c r="S86" s="151"/>
      <c r="T86" s="147">
        <f t="shared" si="20"/>
        <v>0</v>
      </c>
      <c r="U86" s="148"/>
      <c r="V86" s="45"/>
      <c r="W86" s="85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</row>
    <row r="87" spans="1:38" x14ac:dyDescent="0.2">
      <c r="A87" s="45"/>
      <c r="B87" s="52" t="s">
        <v>18</v>
      </c>
      <c r="C87" s="53">
        <f>S$14</f>
        <v>0</v>
      </c>
      <c r="D87" s="58" t="s">
        <v>15</v>
      </c>
      <c r="E87" s="113">
        <f>L$13</f>
        <v>0</v>
      </c>
      <c r="F87" s="62" t="s">
        <v>76</v>
      </c>
      <c r="G87" s="149">
        <f t="shared" si="14"/>
        <v>0</v>
      </c>
      <c r="H87" s="148"/>
      <c r="I87" s="62" t="s">
        <v>57</v>
      </c>
      <c r="J87" s="149">
        <f t="shared" si="15"/>
        <v>0</v>
      </c>
      <c r="K87" s="149"/>
      <c r="L87" s="110" t="str">
        <f t="shared" si="16"/>
        <v>no fluye</v>
      </c>
      <c r="M87" s="72"/>
      <c r="N87" s="149">
        <f t="shared" si="17"/>
        <v>0</v>
      </c>
      <c r="O87" s="148"/>
      <c r="P87" s="147">
        <f>-IF(U$56="a&lt;d",C87*N87,C87*N87-0.85*A$8*C87)</f>
        <v>0</v>
      </c>
      <c r="Q87" s="148"/>
      <c r="R87" s="150">
        <f t="shared" si="19"/>
        <v>20</v>
      </c>
      <c r="S87" s="151"/>
      <c r="T87" s="147">
        <f t="shared" si="20"/>
        <v>0</v>
      </c>
      <c r="U87" s="148"/>
      <c r="V87" s="45"/>
      <c r="W87" s="85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</row>
    <row r="88" spans="1:38" x14ac:dyDescent="0.2">
      <c r="A88" s="45"/>
      <c r="B88" s="52" t="s">
        <v>20</v>
      </c>
      <c r="C88" s="53">
        <f>S$15</f>
        <v>10</v>
      </c>
      <c r="D88" s="58" t="s">
        <v>17</v>
      </c>
      <c r="E88" s="113">
        <f>L$14</f>
        <v>31</v>
      </c>
      <c r="F88" s="62" t="s">
        <v>73</v>
      </c>
      <c r="G88" s="149">
        <f t="shared" si="14"/>
        <v>4.078E-3</v>
      </c>
      <c r="H88" s="148"/>
      <c r="I88" s="62" t="s">
        <v>58</v>
      </c>
      <c r="J88" s="149">
        <f t="shared" si="15"/>
        <v>8156</v>
      </c>
      <c r="K88" s="149"/>
      <c r="L88" s="110" t="str">
        <f t="shared" si="16"/>
        <v>fluye</v>
      </c>
      <c r="M88" s="72"/>
      <c r="N88" s="149">
        <f t="shared" si="17"/>
        <v>4200</v>
      </c>
      <c r="O88" s="148"/>
      <c r="P88" s="147">
        <f>-IF(U$56="a&lt;d",C88*N88,C88*N88-0.85*A$8*C88)</f>
        <v>-42000</v>
      </c>
      <c r="Q88" s="148"/>
      <c r="R88" s="150">
        <f t="shared" si="19"/>
        <v>11</v>
      </c>
      <c r="S88" s="151"/>
      <c r="T88" s="147">
        <f t="shared" si="20"/>
        <v>462000</v>
      </c>
      <c r="U88" s="148"/>
      <c r="V88" s="45"/>
      <c r="W88" s="85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</row>
    <row r="89" spans="1:38" ht="15" thickBot="1" x14ac:dyDescent="0.25">
      <c r="A89" s="45"/>
      <c r="B89" s="54" t="s">
        <v>22</v>
      </c>
      <c r="C89" s="55">
        <f>S$16</f>
        <v>20.399999999999999</v>
      </c>
      <c r="D89" s="59" t="s">
        <v>19</v>
      </c>
      <c r="E89" s="114">
        <f>L$15</f>
        <v>34</v>
      </c>
      <c r="F89" s="63" t="s">
        <v>74</v>
      </c>
      <c r="G89" s="144">
        <f t="shared" si="14"/>
        <v>4.7629999999999999E-3</v>
      </c>
      <c r="H89" s="140"/>
      <c r="I89" s="63" t="s">
        <v>59</v>
      </c>
      <c r="J89" s="144">
        <f t="shared" si="15"/>
        <v>9526</v>
      </c>
      <c r="K89" s="144"/>
      <c r="L89" s="64" t="str">
        <f t="shared" si="16"/>
        <v>fluye</v>
      </c>
      <c r="M89" s="78"/>
      <c r="N89" s="144">
        <f t="shared" si="17"/>
        <v>4200</v>
      </c>
      <c r="O89" s="140"/>
      <c r="P89" s="139">
        <f>-IF(U$56="a&lt;d",C89*N89,C89*N89-0.85*A$8*C89)</f>
        <v>-85680</v>
      </c>
      <c r="Q89" s="140"/>
      <c r="R89" s="145">
        <f t="shared" si="19"/>
        <v>14</v>
      </c>
      <c r="S89" s="146"/>
      <c r="T89" s="139">
        <f t="shared" si="20"/>
        <v>1199520</v>
      </c>
      <c r="U89" s="140"/>
      <c r="V89" s="45"/>
      <c r="W89" s="85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</row>
    <row r="90" spans="1:38" ht="15.75" thickTop="1" thickBo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141">
        <f>SUM(T82:U89)</f>
        <v>2800476</v>
      </c>
      <c r="U90" s="142"/>
      <c r="V90" s="45"/>
      <c r="W90" s="85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</row>
    <row r="91" spans="1:38" ht="15" thickTop="1" x14ac:dyDescent="0.2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85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</row>
    <row r="92" spans="1:38" x14ac:dyDescent="0.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7" t="s">
        <v>37</v>
      </c>
      <c r="L92" s="143">
        <f>ROUND((Q78+SUM(P82:Q89))/1000,2)</f>
        <v>64.05</v>
      </c>
      <c r="M92" s="143"/>
      <c r="N92" s="46" t="s">
        <v>36</v>
      </c>
      <c r="O92" s="45"/>
      <c r="P92" s="47" t="s">
        <v>38</v>
      </c>
      <c r="Q92" s="138">
        <f>ROUND(0.7*L92,2)</f>
        <v>44.84</v>
      </c>
      <c r="R92" s="138"/>
      <c r="S92" s="46" t="s">
        <v>36</v>
      </c>
      <c r="T92" s="45"/>
      <c r="U92" s="45"/>
      <c r="V92" s="45"/>
      <c r="W92" s="85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</row>
    <row r="93" spans="1:38" x14ac:dyDescent="0.2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7" t="s">
        <v>63</v>
      </c>
      <c r="L93" s="137">
        <f>ROUND(((Q79-Q77/2)*Q78+T90)/100000,2)</f>
        <v>43.33</v>
      </c>
      <c r="M93" s="137"/>
      <c r="N93" s="46" t="s">
        <v>36</v>
      </c>
      <c r="O93" s="45"/>
      <c r="P93" s="47" t="s">
        <v>39</v>
      </c>
      <c r="Q93" s="138">
        <f>ROUND(0.7*L93,2)</f>
        <v>30.33</v>
      </c>
      <c r="R93" s="138"/>
      <c r="S93" s="46" t="s">
        <v>40</v>
      </c>
      <c r="T93" s="45"/>
      <c r="U93" s="45"/>
      <c r="V93" s="45"/>
      <c r="W93" s="85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</row>
    <row r="94" spans="1:38" x14ac:dyDescent="0.2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85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</row>
    <row r="95" spans="1:38" x14ac:dyDescent="0.2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85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</row>
    <row r="96" spans="1:38" x14ac:dyDescent="0.2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85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</row>
    <row r="97" spans="1:38" x14ac:dyDescent="0.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85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</row>
    <row r="98" spans="1:38" x14ac:dyDescent="0.2">
      <c r="A98" s="45"/>
      <c r="B98" s="136" t="s">
        <v>79</v>
      </c>
      <c r="C98" s="136"/>
      <c r="D98" s="136"/>
      <c r="E98" s="136"/>
      <c r="F98" s="136"/>
      <c r="G98" s="136"/>
      <c r="H98" s="136"/>
      <c r="I98" s="45"/>
      <c r="J98" s="38" t="s">
        <v>80</v>
      </c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85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</row>
    <row r="99" spans="1:38" x14ac:dyDescent="0.2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85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</row>
    <row r="100" spans="1:38" ht="15.75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8" t="s">
        <v>42</v>
      </c>
      <c r="L100" s="164">
        <v>-10.09</v>
      </c>
      <c r="M100" s="165"/>
      <c r="N100" s="85"/>
      <c r="O100" s="85"/>
      <c r="P100" s="48" t="s">
        <v>45</v>
      </c>
      <c r="Q100" s="160">
        <f>ROUND(C$12*L101,2)</f>
        <v>3.59</v>
      </c>
      <c r="R100" s="160"/>
      <c r="S100" s="40" t="s">
        <v>68</v>
      </c>
      <c r="T100" s="85"/>
      <c r="U100" s="166" t="str">
        <f>IF(Q100&lt;L102,"a&lt;d","a&gt;d")</f>
        <v>a&lt;d</v>
      </c>
      <c r="V100" s="166"/>
      <c r="W100" s="85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</row>
    <row r="101" spans="1:38" x14ac:dyDescent="0.2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8" t="s">
        <v>43</v>
      </c>
      <c r="L101" s="160">
        <f>ROUND((0.003/(0.003-L100*C11)*L102),2)</f>
        <v>4.22</v>
      </c>
      <c r="M101" s="160"/>
      <c r="N101" s="40" t="s">
        <v>68</v>
      </c>
      <c r="O101" s="85"/>
      <c r="P101" s="48" t="s">
        <v>46</v>
      </c>
      <c r="Q101" s="160">
        <f>0.85*A$8*C$12*L101*C$4</f>
        <v>34148.239999999998</v>
      </c>
      <c r="R101" s="160"/>
      <c r="S101" s="68" t="s">
        <v>64</v>
      </c>
      <c r="T101" s="85"/>
      <c r="U101" s="85"/>
      <c r="V101" s="85"/>
      <c r="W101" s="85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</row>
    <row r="102" spans="1:38" x14ac:dyDescent="0.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8" t="s">
        <v>44</v>
      </c>
      <c r="L102" s="159">
        <f>L78</f>
        <v>34</v>
      </c>
      <c r="M102" s="160"/>
      <c r="N102" s="40" t="s">
        <v>68</v>
      </c>
      <c r="O102" s="85"/>
      <c r="P102" s="48" t="s">
        <v>60</v>
      </c>
      <c r="Q102" s="160">
        <f>Q79</f>
        <v>20</v>
      </c>
      <c r="R102" s="160"/>
      <c r="S102" s="40" t="s">
        <v>68</v>
      </c>
      <c r="T102" s="85"/>
      <c r="U102" s="85"/>
      <c r="V102" s="85"/>
      <c r="W102" s="85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</row>
    <row r="103" spans="1:38" ht="15" thickBo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85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</row>
    <row r="104" spans="1:38" ht="15.75" thickTop="1" thickBot="1" x14ac:dyDescent="0.25">
      <c r="A104" s="45"/>
      <c r="B104" s="66" t="s">
        <v>49</v>
      </c>
      <c r="C104" s="116"/>
      <c r="D104" s="161" t="s">
        <v>48</v>
      </c>
      <c r="E104" s="162"/>
      <c r="F104" s="163" t="s">
        <v>50</v>
      </c>
      <c r="G104" s="152"/>
      <c r="H104" s="153"/>
      <c r="I104" s="163" t="s">
        <v>51</v>
      </c>
      <c r="J104" s="152"/>
      <c r="K104" s="153"/>
      <c r="L104" s="71"/>
      <c r="M104" s="71"/>
      <c r="N104" s="163" t="s">
        <v>51</v>
      </c>
      <c r="O104" s="153"/>
      <c r="P104" s="163" t="s">
        <v>67</v>
      </c>
      <c r="Q104" s="153"/>
      <c r="R104" s="163" t="s">
        <v>61</v>
      </c>
      <c r="S104" s="153"/>
      <c r="T104" s="152" t="s">
        <v>62</v>
      </c>
      <c r="U104" s="153"/>
      <c r="V104" s="45"/>
      <c r="W104" s="85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</row>
    <row r="105" spans="1:38" ht="15" thickTop="1" x14ac:dyDescent="0.2">
      <c r="A105" s="45"/>
      <c r="B105" s="50" t="s">
        <v>5</v>
      </c>
      <c r="C105" s="51">
        <f>S$5</f>
        <v>20.399999999999999</v>
      </c>
      <c r="D105" s="57" t="s">
        <v>4</v>
      </c>
      <c r="E105" s="115">
        <f>L$5</f>
        <v>6</v>
      </c>
      <c r="F105" s="60" t="s">
        <v>75</v>
      </c>
      <c r="G105" s="154">
        <f>ABS(ROUND(IF(E105=0,0,((L$101-E105)/L$101)*C$10),6))</f>
        <v>1.2650000000000001E-3</v>
      </c>
      <c r="H105" s="155"/>
      <c r="I105" s="60" t="s">
        <v>52</v>
      </c>
      <c r="J105" s="154">
        <f>ROUND(C$9*G105,0)</f>
        <v>2530</v>
      </c>
      <c r="K105" s="154"/>
      <c r="L105" s="61" t="str">
        <f>IF(J105&gt;=A$10,"fluye","no fluye")</f>
        <v>no fluye</v>
      </c>
      <c r="M105" s="79"/>
      <c r="N105" s="154">
        <f>IF(J105&gt;A$10,A$10,J105)</f>
        <v>2530</v>
      </c>
      <c r="O105" s="155"/>
      <c r="P105" s="156">
        <f>IF(U$56="a&lt;d",C105*N105,C105*N105-0.85*A$8*C105)</f>
        <v>51612</v>
      </c>
      <c r="Q105" s="155"/>
      <c r="R105" s="157">
        <f>ABS(Q$79-E105)</f>
        <v>14</v>
      </c>
      <c r="S105" s="158"/>
      <c r="T105" s="156">
        <f>ABS(R105*P105)</f>
        <v>722568</v>
      </c>
      <c r="U105" s="155"/>
      <c r="V105" s="45"/>
      <c r="W105" s="85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</row>
    <row r="106" spans="1:38" x14ac:dyDescent="0.2">
      <c r="A106" s="45"/>
      <c r="B106" s="52" t="s">
        <v>9</v>
      </c>
      <c r="C106" s="53">
        <f>S$6</f>
        <v>10</v>
      </c>
      <c r="D106" s="58" t="s">
        <v>8</v>
      </c>
      <c r="E106" s="113">
        <f>L$6</f>
        <v>9</v>
      </c>
      <c r="F106" s="62" t="s">
        <v>70</v>
      </c>
      <c r="G106" s="149">
        <f t="shared" ref="G106:G112" si="21">ABS(ROUND(IF(E106=0,0,((L$101-E106)/L$101)*C$10),6))</f>
        <v>3.398E-3</v>
      </c>
      <c r="H106" s="148"/>
      <c r="I106" s="62" t="s">
        <v>53</v>
      </c>
      <c r="J106" s="149">
        <f t="shared" ref="J106:J112" si="22">ROUND(C$9*G106,0)</f>
        <v>6796</v>
      </c>
      <c r="K106" s="149"/>
      <c r="L106" s="110" t="str">
        <f t="shared" ref="L106:L112" si="23">IF(J106&gt;=A$10,"fluye","no fluye")</f>
        <v>fluye</v>
      </c>
      <c r="M106" s="72"/>
      <c r="N106" s="149">
        <f t="shared" ref="N106:N112" si="24">IF(J106&gt;A$10,A$10,J106)</f>
        <v>4200</v>
      </c>
      <c r="O106" s="148"/>
      <c r="P106" s="147">
        <f t="shared" ref="P106:P108" si="25">IF(U$56="a&lt;d",C106*N106,C106*N106-0.85*A$8*C106)</f>
        <v>42000</v>
      </c>
      <c r="Q106" s="148"/>
      <c r="R106" s="150">
        <f t="shared" ref="R106:R112" si="26">ABS(Q$79-E106)</f>
        <v>11</v>
      </c>
      <c r="S106" s="151"/>
      <c r="T106" s="147">
        <f t="shared" ref="T106:T112" si="27">ABS(R106*P106)</f>
        <v>462000</v>
      </c>
      <c r="U106" s="148"/>
      <c r="V106" s="45"/>
      <c r="W106" s="85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</row>
    <row r="107" spans="1:38" x14ac:dyDescent="0.2">
      <c r="A107" s="45"/>
      <c r="B107" s="52" t="s">
        <v>11</v>
      </c>
      <c r="C107" s="53">
        <f>S$7</f>
        <v>0</v>
      </c>
      <c r="D107" s="58" t="s">
        <v>10</v>
      </c>
      <c r="E107" s="113">
        <f>L$7</f>
        <v>0</v>
      </c>
      <c r="F107" s="62" t="s">
        <v>71</v>
      </c>
      <c r="G107" s="149">
        <f t="shared" si="21"/>
        <v>0</v>
      </c>
      <c r="H107" s="148"/>
      <c r="I107" s="62" t="s">
        <v>54</v>
      </c>
      <c r="J107" s="149">
        <f t="shared" si="22"/>
        <v>0</v>
      </c>
      <c r="K107" s="149"/>
      <c r="L107" s="110" t="str">
        <f t="shared" si="23"/>
        <v>no fluye</v>
      </c>
      <c r="M107" s="72"/>
      <c r="N107" s="149">
        <f t="shared" si="24"/>
        <v>0</v>
      </c>
      <c r="O107" s="148"/>
      <c r="P107" s="147">
        <f t="shared" si="25"/>
        <v>0</v>
      </c>
      <c r="Q107" s="148"/>
      <c r="R107" s="150">
        <f t="shared" si="26"/>
        <v>20</v>
      </c>
      <c r="S107" s="151"/>
      <c r="T107" s="147">
        <f t="shared" si="27"/>
        <v>0</v>
      </c>
      <c r="U107" s="148"/>
      <c r="V107" s="45"/>
      <c r="W107" s="85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</row>
    <row r="108" spans="1:38" x14ac:dyDescent="0.2">
      <c r="A108" s="85"/>
      <c r="B108" s="52" t="s">
        <v>13</v>
      </c>
      <c r="C108" s="53">
        <f>S$8</f>
        <v>0</v>
      </c>
      <c r="D108" s="58" t="s">
        <v>12</v>
      </c>
      <c r="E108" s="113">
        <f>L$8</f>
        <v>0</v>
      </c>
      <c r="F108" s="62" t="s">
        <v>69</v>
      </c>
      <c r="G108" s="149">
        <f t="shared" si="21"/>
        <v>0</v>
      </c>
      <c r="H108" s="148"/>
      <c r="I108" s="62" t="s">
        <v>55</v>
      </c>
      <c r="J108" s="149">
        <f t="shared" si="22"/>
        <v>0</v>
      </c>
      <c r="K108" s="149"/>
      <c r="L108" s="110" t="str">
        <f t="shared" si="23"/>
        <v>no fluye</v>
      </c>
      <c r="M108" s="72"/>
      <c r="N108" s="149">
        <f t="shared" si="24"/>
        <v>0</v>
      </c>
      <c r="O108" s="148"/>
      <c r="P108" s="147">
        <f t="shared" si="25"/>
        <v>0</v>
      </c>
      <c r="Q108" s="148"/>
      <c r="R108" s="150">
        <f t="shared" si="26"/>
        <v>20</v>
      </c>
      <c r="S108" s="151"/>
      <c r="T108" s="147">
        <f t="shared" si="27"/>
        <v>0</v>
      </c>
      <c r="U108" s="148"/>
      <c r="V108" s="85"/>
      <c r="W108" s="85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</row>
    <row r="109" spans="1:38" x14ac:dyDescent="0.2">
      <c r="A109" s="85"/>
      <c r="B109" s="52" t="s">
        <v>16</v>
      </c>
      <c r="C109" s="53">
        <f>S$13</f>
        <v>0</v>
      </c>
      <c r="D109" s="58" t="s">
        <v>14</v>
      </c>
      <c r="E109" s="113">
        <f>L$12</f>
        <v>0</v>
      </c>
      <c r="F109" s="62" t="s">
        <v>72</v>
      </c>
      <c r="G109" s="149">
        <f t="shared" si="21"/>
        <v>0</v>
      </c>
      <c r="H109" s="148"/>
      <c r="I109" s="62" t="s">
        <v>56</v>
      </c>
      <c r="J109" s="149">
        <f t="shared" si="22"/>
        <v>0</v>
      </c>
      <c r="K109" s="149"/>
      <c r="L109" s="110" t="str">
        <f t="shared" si="23"/>
        <v>no fluye</v>
      </c>
      <c r="M109" s="72"/>
      <c r="N109" s="149">
        <f t="shared" si="24"/>
        <v>0</v>
      </c>
      <c r="O109" s="148"/>
      <c r="P109" s="147">
        <f>-IF(U$56="a&lt;d",C109*N109,C109*N109-0.85*A$8*C109)</f>
        <v>0</v>
      </c>
      <c r="Q109" s="148"/>
      <c r="R109" s="150">
        <f t="shared" si="26"/>
        <v>20</v>
      </c>
      <c r="S109" s="151"/>
      <c r="T109" s="147">
        <f t="shared" si="27"/>
        <v>0</v>
      </c>
      <c r="U109" s="148"/>
      <c r="V109" s="85"/>
      <c r="W109" s="85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</row>
    <row r="110" spans="1:38" x14ac:dyDescent="0.2">
      <c r="A110" s="85"/>
      <c r="B110" s="52" t="s">
        <v>18</v>
      </c>
      <c r="C110" s="53">
        <f>S$14</f>
        <v>0</v>
      </c>
      <c r="D110" s="58" t="s">
        <v>15</v>
      </c>
      <c r="E110" s="113">
        <f>L$13</f>
        <v>0</v>
      </c>
      <c r="F110" s="62" t="s">
        <v>76</v>
      </c>
      <c r="G110" s="149">
        <f t="shared" si="21"/>
        <v>0</v>
      </c>
      <c r="H110" s="148"/>
      <c r="I110" s="62" t="s">
        <v>57</v>
      </c>
      <c r="J110" s="149">
        <f t="shared" si="22"/>
        <v>0</v>
      </c>
      <c r="K110" s="149"/>
      <c r="L110" s="110" t="str">
        <f t="shared" si="23"/>
        <v>no fluye</v>
      </c>
      <c r="M110" s="72"/>
      <c r="N110" s="149">
        <f t="shared" si="24"/>
        <v>0</v>
      </c>
      <c r="O110" s="148"/>
      <c r="P110" s="147">
        <f>-IF(U$56="a&lt;d",C110*N110,C110*N110-0.85*A$8*C110)</f>
        <v>0</v>
      </c>
      <c r="Q110" s="148"/>
      <c r="R110" s="150">
        <f t="shared" si="26"/>
        <v>20</v>
      </c>
      <c r="S110" s="151"/>
      <c r="T110" s="147">
        <f t="shared" si="27"/>
        <v>0</v>
      </c>
      <c r="U110" s="148"/>
      <c r="V110" s="85"/>
      <c r="W110" s="85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</row>
    <row r="111" spans="1:38" x14ac:dyDescent="0.2">
      <c r="A111" s="85"/>
      <c r="B111" s="52" t="s">
        <v>20</v>
      </c>
      <c r="C111" s="53">
        <f>S$15</f>
        <v>10</v>
      </c>
      <c r="D111" s="58" t="s">
        <v>17</v>
      </c>
      <c r="E111" s="113">
        <f>L$14</f>
        <v>31</v>
      </c>
      <c r="F111" s="62" t="s">
        <v>73</v>
      </c>
      <c r="G111" s="149">
        <f t="shared" si="21"/>
        <v>1.9037999999999999E-2</v>
      </c>
      <c r="H111" s="148"/>
      <c r="I111" s="62" t="s">
        <v>58</v>
      </c>
      <c r="J111" s="149">
        <f t="shared" si="22"/>
        <v>38076</v>
      </c>
      <c r="K111" s="149"/>
      <c r="L111" s="110" t="str">
        <f t="shared" si="23"/>
        <v>fluye</v>
      </c>
      <c r="M111" s="72"/>
      <c r="N111" s="149">
        <f t="shared" si="24"/>
        <v>4200</v>
      </c>
      <c r="O111" s="148"/>
      <c r="P111" s="147">
        <f>-IF(U$56="a&lt;d",C111*N111,C111*N111-0.85*A$8*C111)</f>
        <v>-42000</v>
      </c>
      <c r="Q111" s="148"/>
      <c r="R111" s="150">
        <f t="shared" si="26"/>
        <v>11</v>
      </c>
      <c r="S111" s="151"/>
      <c r="T111" s="147">
        <f t="shared" si="27"/>
        <v>462000</v>
      </c>
      <c r="U111" s="148"/>
      <c r="V111" s="85"/>
      <c r="W111" s="85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</row>
    <row r="112" spans="1:38" ht="15" thickBot="1" x14ac:dyDescent="0.25">
      <c r="A112" s="85"/>
      <c r="B112" s="54" t="s">
        <v>22</v>
      </c>
      <c r="C112" s="55">
        <f>S$16</f>
        <v>20.399999999999999</v>
      </c>
      <c r="D112" s="59" t="s">
        <v>19</v>
      </c>
      <c r="E112" s="114">
        <f>L$15</f>
        <v>34</v>
      </c>
      <c r="F112" s="63" t="s">
        <v>74</v>
      </c>
      <c r="G112" s="144">
        <f t="shared" si="21"/>
        <v>2.1170999999999999E-2</v>
      </c>
      <c r="H112" s="140"/>
      <c r="I112" s="63" t="s">
        <v>59</v>
      </c>
      <c r="J112" s="144">
        <f t="shared" si="22"/>
        <v>42342</v>
      </c>
      <c r="K112" s="144"/>
      <c r="L112" s="64" t="str">
        <f t="shared" si="23"/>
        <v>fluye</v>
      </c>
      <c r="M112" s="78"/>
      <c r="N112" s="144">
        <f t="shared" si="24"/>
        <v>4200</v>
      </c>
      <c r="O112" s="140"/>
      <c r="P112" s="139">
        <f>-IF(U$56="a&lt;d",C112*N112,C112*N112-0.85*A$8*C112)</f>
        <v>-85680</v>
      </c>
      <c r="Q112" s="140"/>
      <c r="R112" s="145">
        <f t="shared" si="26"/>
        <v>14</v>
      </c>
      <c r="S112" s="146"/>
      <c r="T112" s="139">
        <f t="shared" si="27"/>
        <v>1199520</v>
      </c>
      <c r="U112" s="140"/>
      <c r="V112" s="85"/>
      <c r="W112" s="85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</row>
    <row r="113" spans="1:38" ht="15.75" thickTop="1" thickBot="1" x14ac:dyDescent="0.25">
      <c r="A113" s="8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141">
        <f>SUM(T105:U112)</f>
        <v>2846088</v>
      </c>
      <c r="U113" s="142"/>
      <c r="V113" s="85"/>
      <c r="W113" s="85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</row>
    <row r="114" spans="1:38" ht="15" thickTop="1" x14ac:dyDescent="0.2">
      <c r="A114" s="8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85"/>
      <c r="W114" s="85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</row>
    <row r="115" spans="1:38" x14ac:dyDescent="0.2">
      <c r="A115" s="85"/>
      <c r="B115" s="45"/>
      <c r="C115" s="45"/>
      <c r="D115" s="45"/>
      <c r="E115" s="45"/>
      <c r="F115" s="45"/>
      <c r="G115" s="45"/>
      <c r="H115" s="45"/>
      <c r="I115" s="45"/>
      <c r="J115" s="45"/>
      <c r="K115" s="47" t="s">
        <v>37</v>
      </c>
      <c r="L115" s="143">
        <f>ROUND((Q101+SUM(P105:Q112))/1000,2)</f>
        <v>0.08</v>
      </c>
      <c r="M115" s="143"/>
      <c r="N115" s="46" t="s">
        <v>36</v>
      </c>
      <c r="O115" s="45"/>
      <c r="P115" s="47" t="s">
        <v>38</v>
      </c>
      <c r="Q115" s="138">
        <f>ROUND(0.9*L115,2)</f>
        <v>7.0000000000000007E-2</v>
      </c>
      <c r="R115" s="138"/>
      <c r="S115" s="46" t="s">
        <v>36</v>
      </c>
      <c r="T115" s="45"/>
      <c r="U115" s="45"/>
      <c r="V115" s="85"/>
      <c r="W115" s="85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</row>
    <row r="116" spans="1:38" x14ac:dyDescent="0.2">
      <c r="A116" s="85"/>
      <c r="B116" s="45"/>
      <c r="C116" s="45"/>
      <c r="D116" s="45"/>
      <c r="E116" s="45"/>
      <c r="F116" s="45"/>
      <c r="G116" s="45"/>
      <c r="H116" s="45"/>
      <c r="I116" s="45"/>
      <c r="J116" s="45"/>
      <c r="K116" s="47" t="s">
        <v>63</v>
      </c>
      <c r="L116" s="137">
        <f>ROUND(((Q102-Q100/2)*Q101+T113)/100000,2)</f>
        <v>34.68</v>
      </c>
      <c r="M116" s="137"/>
      <c r="N116" s="46" t="s">
        <v>36</v>
      </c>
      <c r="O116" s="45"/>
      <c r="P116" s="47" t="s">
        <v>39</v>
      </c>
      <c r="Q116" s="138">
        <f>ROUND(0.9*L116,2)</f>
        <v>31.21</v>
      </c>
      <c r="R116" s="138"/>
      <c r="S116" s="46" t="s">
        <v>40</v>
      </c>
      <c r="T116" s="45"/>
      <c r="U116" s="45"/>
      <c r="V116" s="85"/>
      <c r="W116" s="85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</row>
    <row r="117" spans="1:38" x14ac:dyDescent="0.2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</row>
    <row r="118" spans="1:38" x14ac:dyDescent="0.2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</row>
    <row r="119" spans="1:38" x14ac:dyDescent="0.2">
      <c r="A119" s="85"/>
      <c r="B119" s="136" t="s">
        <v>79</v>
      </c>
      <c r="C119" s="136"/>
      <c r="D119" s="136"/>
      <c r="E119" s="136"/>
      <c r="F119" s="136"/>
      <c r="G119" s="136"/>
      <c r="H119" s="136"/>
      <c r="I119" s="85"/>
      <c r="J119" s="38" t="s">
        <v>81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</row>
    <row r="120" spans="1:38" x14ac:dyDescent="0.2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</row>
    <row r="121" spans="1:38" x14ac:dyDescent="0.2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47" t="s">
        <v>37</v>
      </c>
      <c r="L121" s="137">
        <f>-ROUND(C25*A10/1000,2)</f>
        <v>-255.36</v>
      </c>
      <c r="M121" s="137"/>
      <c r="N121" s="46" t="s">
        <v>36</v>
      </c>
      <c r="O121" s="45"/>
      <c r="P121" s="47" t="s">
        <v>38</v>
      </c>
      <c r="Q121" s="138">
        <f>ROUND(0.9*L121,2)</f>
        <v>-229.82</v>
      </c>
      <c r="R121" s="138"/>
      <c r="S121" s="46" t="s">
        <v>36</v>
      </c>
      <c r="T121" s="85"/>
      <c r="U121" s="85"/>
      <c r="V121" s="85"/>
      <c r="W121" s="85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</row>
    <row r="122" spans="1:38" x14ac:dyDescent="0.2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47" t="s">
        <v>63</v>
      </c>
      <c r="L122" s="137">
        <v>0</v>
      </c>
      <c r="M122" s="137"/>
      <c r="N122" s="46" t="s">
        <v>36</v>
      </c>
      <c r="O122" s="45"/>
      <c r="P122" s="47" t="s">
        <v>39</v>
      </c>
      <c r="Q122" s="138">
        <f>ROUND(0.9*L122,2)</f>
        <v>0</v>
      </c>
      <c r="R122" s="138"/>
      <c r="S122" s="46" t="s">
        <v>40</v>
      </c>
      <c r="T122" s="85"/>
      <c r="U122" s="85"/>
      <c r="V122" s="85"/>
      <c r="W122" s="85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</row>
    <row r="123" spans="1:38" x14ac:dyDescent="0.2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</row>
    <row r="124" spans="1:38" ht="15" thickBot="1" x14ac:dyDescent="0.25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</row>
    <row r="125" spans="1:38" ht="15.75" thickTop="1" thickBot="1" x14ac:dyDescent="0.25">
      <c r="A125" s="85"/>
      <c r="B125" s="132" t="s">
        <v>82</v>
      </c>
      <c r="C125" s="133"/>
      <c r="D125" s="133"/>
      <c r="E125" s="133"/>
      <c r="F125" s="133"/>
      <c r="G125" s="133"/>
      <c r="H125" s="134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</row>
    <row r="126" spans="1:38" ht="15" thickTop="1" x14ac:dyDescent="0.2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</row>
    <row r="127" spans="1:38" x14ac:dyDescent="0.2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</row>
    <row r="128" spans="1:38" x14ac:dyDescent="0.2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</row>
    <row r="129" spans="1:38" x14ac:dyDescent="0.2">
      <c r="A129" s="85"/>
      <c r="B129" s="85"/>
      <c r="C129" s="85"/>
      <c r="D129" s="135" t="s">
        <v>37</v>
      </c>
      <c r="E129" s="135"/>
      <c r="F129" s="135" t="s">
        <v>63</v>
      </c>
      <c r="G129" s="135"/>
      <c r="H129" s="135" t="s">
        <v>38</v>
      </c>
      <c r="I129" s="135"/>
      <c r="J129" s="135" t="s">
        <v>39</v>
      </c>
      <c r="K129" s="135"/>
      <c r="L129" s="85"/>
      <c r="M129" s="111"/>
      <c r="N129" s="112"/>
      <c r="O129" s="112"/>
      <c r="P129" s="112"/>
      <c r="Q129" s="112"/>
      <c r="R129" s="112"/>
      <c r="S129" s="112"/>
      <c r="T129" s="111"/>
      <c r="U129" s="85"/>
      <c r="V129" s="85"/>
      <c r="W129" s="85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</row>
    <row r="130" spans="1:38" x14ac:dyDescent="0.2">
      <c r="A130" s="85"/>
      <c r="B130" s="85"/>
      <c r="C130" s="76">
        <v>1</v>
      </c>
      <c r="D130" s="130">
        <f>C31</f>
        <v>497.35</v>
      </c>
      <c r="E130" s="131"/>
      <c r="F130" s="129">
        <v>0</v>
      </c>
      <c r="G130" s="129"/>
      <c r="H130" s="129">
        <f>C32</f>
        <v>348.15</v>
      </c>
      <c r="I130" s="129"/>
      <c r="J130" s="129">
        <v>0</v>
      </c>
      <c r="K130" s="129"/>
      <c r="L130" s="85"/>
      <c r="M130" s="111"/>
      <c r="N130" s="112">
        <f>D130</f>
        <v>497.35</v>
      </c>
      <c r="O130" s="112">
        <f>F130</f>
        <v>0</v>
      </c>
      <c r="P130" s="112">
        <f>H130</f>
        <v>348.15</v>
      </c>
      <c r="Q130" s="112">
        <f>J130</f>
        <v>0</v>
      </c>
      <c r="R130" s="112"/>
      <c r="S130" s="112"/>
      <c r="T130" s="111"/>
      <c r="U130" s="85"/>
      <c r="V130" s="85"/>
      <c r="W130" s="85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</row>
    <row r="131" spans="1:38" x14ac:dyDescent="0.2">
      <c r="A131" s="85"/>
      <c r="B131" s="85"/>
      <c r="C131" s="76">
        <v>2</v>
      </c>
      <c r="D131" s="129">
        <f>L50</f>
        <v>397.51</v>
      </c>
      <c r="E131" s="129"/>
      <c r="F131" s="129">
        <f>L51</f>
        <v>32.47</v>
      </c>
      <c r="G131" s="129"/>
      <c r="H131" s="129">
        <f>Q50</f>
        <v>278.26</v>
      </c>
      <c r="I131" s="129"/>
      <c r="J131" s="129">
        <f>Q51</f>
        <v>22.73</v>
      </c>
      <c r="K131" s="129"/>
      <c r="L131" s="85"/>
      <c r="M131" s="111"/>
      <c r="N131" s="112">
        <f t="shared" ref="N131:N135" si="28">D131</f>
        <v>397.51</v>
      </c>
      <c r="O131" s="112">
        <f t="shared" ref="O131:O135" si="29">F131</f>
        <v>32.47</v>
      </c>
      <c r="P131" s="112">
        <f t="shared" ref="P131:P135" si="30">H131</f>
        <v>278.26</v>
      </c>
      <c r="Q131" s="112">
        <f t="shared" ref="Q131:Q135" si="31">J131</f>
        <v>22.73</v>
      </c>
      <c r="R131" s="112"/>
      <c r="S131" s="112"/>
      <c r="T131" s="111"/>
      <c r="U131" s="85"/>
      <c r="V131" s="85"/>
      <c r="W131" s="85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</row>
    <row r="132" spans="1:38" x14ac:dyDescent="0.2">
      <c r="A132" s="85"/>
      <c r="B132" s="85"/>
      <c r="C132" s="76">
        <v>3</v>
      </c>
      <c r="D132" s="129">
        <f>L71</f>
        <v>161.84</v>
      </c>
      <c r="E132" s="129"/>
      <c r="F132" s="129">
        <f>L72</f>
        <v>49.86</v>
      </c>
      <c r="G132" s="129"/>
      <c r="H132" s="129">
        <f>Q71</f>
        <v>113.29</v>
      </c>
      <c r="I132" s="129"/>
      <c r="J132" s="129">
        <f>Q72</f>
        <v>34.9</v>
      </c>
      <c r="K132" s="129"/>
      <c r="L132" s="85"/>
      <c r="M132" s="111"/>
      <c r="N132" s="112">
        <f t="shared" si="28"/>
        <v>161.84</v>
      </c>
      <c r="O132" s="112">
        <f t="shared" si="29"/>
        <v>49.86</v>
      </c>
      <c r="P132" s="112">
        <f t="shared" si="30"/>
        <v>113.29</v>
      </c>
      <c r="Q132" s="112">
        <f t="shared" si="31"/>
        <v>34.9</v>
      </c>
      <c r="R132" s="112"/>
      <c r="S132" s="112"/>
      <c r="T132" s="111"/>
      <c r="U132" s="85"/>
      <c r="V132" s="85"/>
      <c r="W132" s="85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</row>
    <row r="133" spans="1:38" x14ac:dyDescent="0.2">
      <c r="A133" s="85"/>
      <c r="B133" s="85"/>
      <c r="C133" s="76">
        <v>4</v>
      </c>
      <c r="D133" s="129">
        <f>L92</f>
        <v>64.05</v>
      </c>
      <c r="E133" s="129"/>
      <c r="F133" s="129">
        <f>L93</f>
        <v>43.33</v>
      </c>
      <c r="G133" s="129"/>
      <c r="H133" s="129">
        <f>Q92</f>
        <v>44.84</v>
      </c>
      <c r="I133" s="129"/>
      <c r="J133" s="129">
        <f>Q93</f>
        <v>30.33</v>
      </c>
      <c r="K133" s="129"/>
      <c r="L133" s="85"/>
      <c r="M133" s="111"/>
      <c r="N133" s="112">
        <f t="shared" si="28"/>
        <v>64.05</v>
      </c>
      <c r="O133" s="112">
        <f t="shared" si="29"/>
        <v>43.33</v>
      </c>
      <c r="P133" s="112">
        <f t="shared" si="30"/>
        <v>44.84</v>
      </c>
      <c r="Q133" s="112">
        <f t="shared" si="31"/>
        <v>30.33</v>
      </c>
      <c r="R133" s="112"/>
      <c r="S133" s="112"/>
      <c r="T133" s="111"/>
      <c r="U133" s="85"/>
      <c r="V133" s="85"/>
      <c r="W133" s="85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</row>
    <row r="134" spans="1:38" x14ac:dyDescent="0.2">
      <c r="A134" s="85"/>
      <c r="B134" s="85"/>
      <c r="C134" s="76">
        <v>5</v>
      </c>
      <c r="D134" s="129">
        <f>L115</f>
        <v>0.08</v>
      </c>
      <c r="E134" s="129"/>
      <c r="F134" s="129">
        <f>L116</f>
        <v>34.68</v>
      </c>
      <c r="G134" s="129"/>
      <c r="H134" s="129">
        <f>Q115</f>
        <v>7.0000000000000007E-2</v>
      </c>
      <c r="I134" s="129"/>
      <c r="J134" s="129">
        <f>Q116</f>
        <v>31.21</v>
      </c>
      <c r="K134" s="129"/>
      <c r="L134" s="85"/>
      <c r="M134" s="111"/>
      <c r="N134" s="112">
        <f t="shared" si="28"/>
        <v>0.08</v>
      </c>
      <c r="O134" s="112">
        <f t="shared" si="29"/>
        <v>34.68</v>
      </c>
      <c r="P134" s="112">
        <f t="shared" si="30"/>
        <v>7.0000000000000007E-2</v>
      </c>
      <c r="Q134" s="112">
        <f t="shared" si="31"/>
        <v>31.21</v>
      </c>
      <c r="R134" s="112"/>
      <c r="S134" s="112"/>
      <c r="T134" s="111"/>
      <c r="U134" s="85"/>
      <c r="V134" s="85"/>
      <c r="W134" s="85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</row>
    <row r="135" spans="1:38" x14ac:dyDescent="0.2">
      <c r="A135" s="85"/>
      <c r="B135" s="85"/>
      <c r="C135" s="76">
        <v>6</v>
      </c>
      <c r="D135" s="129">
        <f>L121</f>
        <v>-255.36</v>
      </c>
      <c r="E135" s="129"/>
      <c r="F135" s="129">
        <f>L122</f>
        <v>0</v>
      </c>
      <c r="G135" s="129"/>
      <c r="H135" s="129">
        <f>Q121</f>
        <v>-229.82</v>
      </c>
      <c r="I135" s="129"/>
      <c r="J135" s="129">
        <v>0</v>
      </c>
      <c r="K135" s="129"/>
      <c r="L135" s="85"/>
      <c r="M135" s="111"/>
      <c r="N135" s="112">
        <f t="shared" si="28"/>
        <v>-255.36</v>
      </c>
      <c r="O135" s="112">
        <f t="shared" si="29"/>
        <v>0</v>
      </c>
      <c r="P135" s="112">
        <f t="shared" si="30"/>
        <v>-229.82</v>
      </c>
      <c r="Q135" s="112">
        <f t="shared" si="31"/>
        <v>0</v>
      </c>
      <c r="R135" s="112"/>
      <c r="S135" s="112"/>
      <c r="T135" s="111"/>
      <c r="U135" s="85"/>
      <c r="V135" s="85"/>
      <c r="W135" s="85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</row>
    <row r="136" spans="1:38" x14ac:dyDescent="0.2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111"/>
      <c r="N136" s="111"/>
      <c r="O136" s="111"/>
      <c r="P136" s="111"/>
      <c r="Q136" s="111"/>
      <c r="R136" s="111"/>
      <c r="S136" s="111"/>
      <c r="T136" s="111"/>
      <c r="U136" s="85"/>
      <c r="V136" s="85"/>
      <c r="W136" s="85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</row>
    <row r="137" spans="1:38" x14ac:dyDescent="0.2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</row>
    <row r="138" spans="1:38" x14ac:dyDescent="0.2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</row>
    <row r="139" spans="1:38" x14ac:dyDescent="0.2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</row>
    <row r="140" spans="1:38" x14ac:dyDescent="0.2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</row>
    <row r="141" spans="1:38" x14ac:dyDescent="0.2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</row>
    <row r="142" spans="1:38" x14ac:dyDescent="0.2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</row>
    <row r="143" spans="1:38" x14ac:dyDescent="0.2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</row>
    <row r="144" spans="1:38" x14ac:dyDescent="0.2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</row>
    <row r="145" spans="1:38" x14ac:dyDescent="0.2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</row>
    <row r="146" spans="1:38" x14ac:dyDescent="0.2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</row>
    <row r="147" spans="1:38" x14ac:dyDescent="0.2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</row>
    <row r="148" spans="1:38" x14ac:dyDescent="0.2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</row>
    <row r="149" spans="1:38" x14ac:dyDescent="0.2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</row>
    <row r="150" spans="1:38" x14ac:dyDescent="0.2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</row>
    <row r="151" spans="1:38" x14ac:dyDescent="0.2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</row>
    <row r="152" spans="1:38" x14ac:dyDescent="0.2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</row>
    <row r="153" spans="1:38" x14ac:dyDescent="0.2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</row>
    <row r="154" spans="1:38" x14ac:dyDescent="0.2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</row>
    <row r="155" spans="1:38" x14ac:dyDescent="0.2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</row>
    <row r="156" spans="1:38" x14ac:dyDescent="0.2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</row>
    <row r="157" spans="1:38" x14ac:dyDescent="0.2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</row>
    <row r="158" spans="1:38" x14ac:dyDescent="0.2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</row>
    <row r="159" spans="1:38" x14ac:dyDescent="0.2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</row>
    <row r="160" spans="1:38" x14ac:dyDescent="0.2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</row>
    <row r="161" spans="1:38" x14ac:dyDescent="0.2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</row>
    <row r="162" spans="1:38" x14ac:dyDescent="0.2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</row>
    <row r="163" spans="1:38" x14ac:dyDescent="0.2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</row>
    <row r="164" spans="1:38" x14ac:dyDescent="0.2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</row>
    <row r="165" spans="1:38" x14ac:dyDescent="0.2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</row>
    <row r="166" spans="1:38" x14ac:dyDescent="0.2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</row>
    <row r="167" spans="1:38" x14ac:dyDescent="0.2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</row>
    <row r="168" spans="1:38" x14ac:dyDescent="0.2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</row>
    <row r="169" spans="1:38" x14ac:dyDescent="0.2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</row>
    <row r="170" spans="1:38" x14ac:dyDescent="0.2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</row>
    <row r="171" spans="1:38" x14ac:dyDescent="0.2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</row>
    <row r="172" spans="1:38" x14ac:dyDescent="0.2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</row>
    <row r="173" spans="1:38" x14ac:dyDescent="0.2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</row>
    <row r="174" spans="1:38" x14ac:dyDescent="0.2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</row>
    <row r="175" spans="1:38" x14ac:dyDescent="0.2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</row>
    <row r="176" spans="1:38" x14ac:dyDescent="0.2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</row>
    <row r="177" spans="1:23" x14ac:dyDescent="0.2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</row>
    <row r="178" spans="1:23" x14ac:dyDescent="0.2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</row>
    <row r="179" spans="1:23" x14ac:dyDescent="0.2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</row>
    <row r="180" spans="1:23" x14ac:dyDescent="0.2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</row>
    <row r="181" spans="1:23" x14ac:dyDescent="0.2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</row>
    <row r="182" spans="1:23" x14ac:dyDescent="0.2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</row>
    <row r="183" spans="1:23" x14ac:dyDescent="0.2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</row>
    <row r="184" spans="1:23" x14ac:dyDescent="0.2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</row>
    <row r="185" spans="1:23" x14ac:dyDescent="0.2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</row>
    <row r="186" spans="1:23" x14ac:dyDescent="0.2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</row>
    <row r="187" spans="1:23" x14ac:dyDescent="0.2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</row>
    <row r="188" spans="1:23" x14ac:dyDescent="0.2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</row>
    <row r="189" spans="1:23" x14ac:dyDescent="0.2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</row>
    <row r="190" spans="1:23" x14ac:dyDescent="0.2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</row>
    <row r="191" spans="1:23" x14ac:dyDescent="0.2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</row>
    <row r="192" spans="1:23" x14ac:dyDescent="0.2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</row>
    <row r="193" spans="1:23" x14ac:dyDescent="0.2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</row>
    <row r="194" spans="1:23" x14ac:dyDescent="0.2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</row>
    <row r="195" spans="1:23" x14ac:dyDescent="0.2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</row>
    <row r="196" spans="1:23" x14ac:dyDescent="0.2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</row>
    <row r="197" spans="1:23" x14ac:dyDescent="0.2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</row>
    <row r="198" spans="1:23" x14ac:dyDescent="0.2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</row>
    <row r="199" spans="1:23" x14ac:dyDescent="0.2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</row>
    <row r="200" spans="1:23" x14ac:dyDescent="0.2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</row>
    <row r="201" spans="1:23" x14ac:dyDescent="0.2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</row>
    <row r="202" spans="1:23" x14ac:dyDescent="0.2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</row>
    <row r="203" spans="1:23" x14ac:dyDescent="0.2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</row>
    <row r="204" spans="1:23" x14ac:dyDescent="0.2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</row>
    <row r="205" spans="1:23" x14ac:dyDescent="0.2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</row>
    <row r="206" spans="1:23" x14ac:dyDescent="0.2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</row>
    <row r="207" spans="1:23" x14ac:dyDescent="0.2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</row>
    <row r="208" spans="1:23" x14ac:dyDescent="0.2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</row>
    <row r="209" spans="1:23" x14ac:dyDescent="0.2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</row>
    <row r="210" spans="1:23" x14ac:dyDescent="0.2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</row>
    <row r="211" spans="1:23" x14ac:dyDescent="0.2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</row>
    <row r="212" spans="1:23" x14ac:dyDescent="0.2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</row>
    <row r="213" spans="1:23" x14ac:dyDescent="0.2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</row>
    <row r="214" spans="1:23" x14ac:dyDescent="0.2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</row>
    <row r="215" spans="1:23" x14ac:dyDescent="0.2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</row>
    <row r="216" spans="1:23" x14ac:dyDescent="0.2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</row>
    <row r="217" spans="1:23" x14ac:dyDescent="0.2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</row>
    <row r="218" spans="1:23" x14ac:dyDescent="0.2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</row>
    <row r="219" spans="1:23" x14ac:dyDescent="0.2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</row>
    <row r="220" spans="1:23" x14ac:dyDescent="0.2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</row>
    <row r="221" spans="1:23" x14ac:dyDescent="0.2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</row>
    <row r="222" spans="1:23" x14ac:dyDescent="0.2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</row>
    <row r="223" spans="1:23" x14ac:dyDescent="0.2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</row>
    <row r="224" spans="1:23" x14ac:dyDescent="0.2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</row>
    <row r="225" spans="1:23" x14ac:dyDescent="0.2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</row>
  </sheetData>
  <mergeCells count="332">
    <mergeCell ref="U35:V35"/>
    <mergeCell ref="G40:H40"/>
    <mergeCell ref="G41:H41"/>
    <mergeCell ref="G42:H42"/>
    <mergeCell ref="G43:H43"/>
    <mergeCell ref="Q35:R35"/>
    <mergeCell ref="L35:M35"/>
    <mergeCell ref="L36:M36"/>
    <mergeCell ref="L37:M37"/>
    <mergeCell ref="J41:K41"/>
    <mergeCell ref="N41:O41"/>
    <mergeCell ref="N42:O42"/>
    <mergeCell ref="N43:O43"/>
    <mergeCell ref="P43:Q43"/>
    <mergeCell ref="S5:T5"/>
    <mergeCell ref="S6:T6"/>
    <mergeCell ref="S7:T7"/>
    <mergeCell ref="S8:T8"/>
    <mergeCell ref="S13:T13"/>
    <mergeCell ref="B3:D3"/>
    <mergeCell ref="C4:D4"/>
    <mergeCell ref="C5:D5"/>
    <mergeCell ref="C13:D13"/>
    <mergeCell ref="S14:T14"/>
    <mergeCell ref="S15:T15"/>
    <mergeCell ref="S16:T16"/>
    <mergeCell ref="C9:D9"/>
    <mergeCell ref="C10:D10"/>
    <mergeCell ref="C11:D11"/>
    <mergeCell ref="C12:D12"/>
    <mergeCell ref="B35:H35"/>
    <mergeCell ref="C26:D26"/>
    <mergeCell ref="C22:D22"/>
    <mergeCell ref="C25:D25"/>
    <mergeCell ref="B28:H28"/>
    <mergeCell ref="C30:D30"/>
    <mergeCell ref="C31:D31"/>
    <mergeCell ref="C32:D32"/>
    <mergeCell ref="C33:D33"/>
    <mergeCell ref="T39:U39"/>
    <mergeCell ref="T40:U40"/>
    <mergeCell ref="T41:U41"/>
    <mergeCell ref="T42:U42"/>
    <mergeCell ref="R39:S39"/>
    <mergeCell ref="P45:Q45"/>
    <mergeCell ref="P46:Q46"/>
    <mergeCell ref="R40:S40"/>
    <mergeCell ref="R41:S41"/>
    <mergeCell ref="R42:S42"/>
    <mergeCell ref="R43:S43"/>
    <mergeCell ref="R44:S44"/>
    <mergeCell ref="R45:S45"/>
    <mergeCell ref="R46:S46"/>
    <mergeCell ref="T43:U43"/>
    <mergeCell ref="T44:U44"/>
    <mergeCell ref="P40:Q40"/>
    <mergeCell ref="T45:U45"/>
    <mergeCell ref="P39:Q39"/>
    <mergeCell ref="P44:Q44"/>
    <mergeCell ref="P41:Q41"/>
    <mergeCell ref="P42:Q42"/>
    <mergeCell ref="D60:E60"/>
    <mergeCell ref="F60:H60"/>
    <mergeCell ref="I60:K60"/>
    <mergeCell ref="N60:O60"/>
    <mergeCell ref="P60:Q60"/>
    <mergeCell ref="R60:S60"/>
    <mergeCell ref="J45:K45"/>
    <mergeCell ref="J46:K46"/>
    <mergeCell ref="Q36:R36"/>
    <mergeCell ref="N44:O44"/>
    <mergeCell ref="N45:O45"/>
    <mergeCell ref="N46:O46"/>
    <mergeCell ref="D39:E39"/>
    <mergeCell ref="F39:H39"/>
    <mergeCell ref="I39:K39"/>
    <mergeCell ref="J40:K40"/>
    <mergeCell ref="N39:O39"/>
    <mergeCell ref="Q37:R37"/>
    <mergeCell ref="N40:O40"/>
    <mergeCell ref="J42:K42"/>
    <mergeCell ref="J43:K43"/>
    <mergeCell ref="J44:K44"/>
    <mergeCell ref="G44:H44"/>
    <mergeCell ref="G45:H45"/>
    <mergeCell ref="G46:H46"/>
    <mergeCell ref="G47:H47"/>
    <mergeCell ref="J47:K47"/>
    <mergeCell ref="R61:S61"/>
    <mergeCell ref="R62:S62"/>
    <mergeCell ref="R63:S63"/>
    <mergeCell ref="R64:S64"/>
    <mergeCell ref="J61:K61"/>
    <mergeCell ref="J62:K62"/>
    <mergeCell ref="J63:K63"/>
    <mergeCell ref="J64:K64"/>
    <mergeCell ref="N47:O47"/>
    <mergeCell ref="P47:Q47"/>
    <mergeCell ref="B54:H54"/>
    <mergeCell ref="L56:M56"/>
    <mergeCell ref="Q56:R56"/>
    <mergeCell ref="L57:M57"/>
    <mergeCell ref="L50:M50"/>
    <mergeCell ref="L51:M51"/>
    <mergeCell ref="R47:S47"/>
    <mergeCell ref="Q50:R50"/>
    <mergeCell ref="Q51:R51"/>
    <mergeCell ref="L58:M58"/>
    <mergeCell ref="T46:U46"/>
    <mergeCell ref="T47:U47"/>
    <mergeCell ref="U56:V56"/>
    <mergeCell ref="T48:U48"/>
    <mergeCell ref="P61:Q61"/>
    <mergeCell ref="P62:Q62"/>
    <mergeCell ref="P63:Q63"/>
    <mergeCell ref="P64:Q64"/>
    <mergeCell ref="T60:U60"/>
    <mergeCell ref="T61:U61"/>
    <mergeCell ref="T62:U62"/>
    <mergeCell ref="T63:U63"/>
    <mergeCell ref="T64:U64"/>
    <mergeCell ref="Q58:R58"/>
    <mergeCell ref="Q57:R57"/>
    <mergeCell ref="P65:Q65"/>
    <mergeCell ref="P66:Q66"/>
    <mergeCell ref="P67:Q67"/>
    <mergeCell ref="G61:H61"/>
    <mergeCell ref="G62:H62"/>
    <mergeCell ref="G63:H63"/>
    <mergeCell ref="G64:H64"/>
    <mergeCell ref="N61:O61"/>
    <mergeCell ref="N62:O62"/>
    <mergeCell ref="N63:O63"/>
    <mergeCell ref="N64:O64"/>
    <mergeCell ref="N66:O66"/>
    <mergeCell ref="N67:O67"/>
    <mergeCell ref="T65:U65"/>
    <mergeCell ref="T66:U66"/>
    <mergeCell ref="T67:U67"/>
    <mergeCell ref="T68:U68"/>
    <mergeCell ref="P68:Q68"/>
    <mergeCell ref="B75:H75"/>
    <mergeCell ref="T69:U69"/>
    <mergeCell ref="L71:M71"/>
    <mergeCell ref="L72:M72"/>
    <mergeCell ref="Q71:R71"/>
    <mergeCell ref="Q72:R72"/>
    <mergeCell ref="R65:S65"/>
    <mergeCell ref="R66:S66"/>
    <mergeCell ref="R67:S67"/>
    <mergeCell ref="R68:S68"/>
    <mergeCell ref="G65:H65"/>
    <mergeCell ref="G66:H66"/>
    <mergeCell ref="G67:H67"/>
    <mergeCell ref="G68:H68"/>
    <mergeCell ref="J65:K65"/>
    <mergeCell ref="J66:K66"/>
    <mergeCell ref="J67:K67"/>
    <mergeCell ref="J68:K68"/>
    <mergeCell ref="N65:O65"/>
    <mergeCell ref="N68:O68"/>
    <mergeCell ref="D78:E78"/>
    <mergeCell ref="D77:E77"/>
    <mergeCell ref="D81:E81"/>
    <mergeCell ref="F81:H81"/>
    <mergeCell ref="I81:K81"/>
    <mergeCell ref="Q78:R78"/>
    <mergeCell ref="L77:M77"/>
    <mergeCell ref="Q77:R77"/>
    <mergeCell ref="U77:V77"/>
    <mergeCell ref="L78:M78"/>
    <mergeCell ref="Q79:R79"/>
    <mergeCell ref="N81:O81"/>
    <mergeCell ref="P81:Q81"/>
    <mergeCell ref="R81:S81"/>
    <mergeCell ref="T81:U81"/>
    <mergeCell ref="G82:H82"/>
    <mergeCell ref="J82:K82"/>
    <mergeCell ref="N82:O82"/>
    <mergeCell ref="P82:Q82"/>
    <mergeCell ref="R82:S82"/>
    <mergeCell ref="T82:U82"/>
    <mergeCell ref="T83:U83"/>
    <mergeCell ref="G84:H84"/>
    <mergeCell ref="J84:K84"/>
    <mergeCell ref="N84:O84"/>
    <mergeCell ref="P84:Q84"/>
    <mergeCell ref="R84:S84"/>
    <mergeCell ref="T84:U84"/>
    <mergeCell ref="G83:H83"/>
    <mergeCell ref="J83:K83"/>
    <mergeCell ref="N83:O83"/>
    <mergeCell ref="P83:Q83"/>
    <mergeCell ref="R83:S83"/>
    <mergeCell ref="T85:U85"/>
    <mergeCell ref="G86:H86"/>
    <mergeCell ref="J86:K86"/>
    <mergeCell ref="N86:O86"/>
    <mergeCell ref="P86:Q86"/>
    <mergeCell ref="R86:S86"/>
    <mergeCell ref="T86:U86"/>
    <mergeCell ref="G85:H85"/>
    <mergeCell ref="J85:K85"/>
    <mergeCell ref="N85:O85"/>
    <mergeCell ref="P85:Q85"/>
    <mergeCell ref="R85:S85"/>
    <mergeCell ref="G89:H89"/>
    <mergeCell ref="J89:K89"/>
    <mergeCell ref="N89:O89"/>
    <mergeCell ref="P89:Q89"/>
    <mergeCell ref="R89:S89"/>
    <mergeCell ref="T87:U87"/>
    <mergeCell ref="G88:H88"/>
    <mergeCell ref="J88:K88"/>
    <mergeCell ref="N88:O88"/>
    <mergeCell ref="P88:Q88"/>
    <mergeCell ref="R88:S88"/>
    <mergeCell ref="T88:U88"/>
    <mergeCell ref="G87:H87"/>
    <mergeCell ref="J87:K87"/>
    <mergeCell ref="N87:O87"/>
    <mergeCell ref="P87:Q87"/>
    <mergeCell ref="R87:S87"/>
    <mergeCell ref="U100:V100"/>
    <mergeCell ref="L101:M101"/>
    <mergeCell ref="Q101:R101"/>
    <mergeCell ref="T89:U89"/>
    <mergeCell ref="T90:U90"/>
    <mergeCell ref="L92:M92"/>
    <mergeCell ref="Q92:R92"/>
    <mergeCell ref="L93:M93"/>
    <mergeCell ref="Q93:R93"/>
    <mergeCell ref="D104:E104"/>
    <mergeCell ref="F104:H104"/>
    <mergeCell ref="I104:K104"/>
    <mergeCell ref="N104:O104"/>
    <mergeCell ref="P104:Q104"/>
    <mergeCell ref="R104:S104"/>
    <mergeCell ref="B98:H98"/>
    <mergeCell ref="L100:M100"/>
    <mergeCell ref="Q100:R100"/>
    <mergeCell ref="T104:U104"/>
    <mergeCell ref="G105:H105"/>
    <mergeCell ref="J105:K105"/>
    <mergeCell ref="N105:O105"/>
    <mergeCell ref="P105:Q105"/>
    <mergeCell ref="R105:S105"/>
    <mergeCell ref="T105:U105"/>
    <mergeCell ref="L102:M102"/>
    <mergeCell ref="Q102:R102"/>
    <mergeCell ref="T106:U106"/>
    <mergeCell ref="G107:H107"/>
    <mergeCell ref="J107:K107"/>
    <mergeCell ref="N107:O107"/>
    <mergeCell ref="P107:Q107"/>
    <mergeCell ref="R107:S107"/>
    <mergeCell ref="T107:U107"/>
    <mergeCell ref="G106:H106"/>
    <mergeCell ref="J106:K106"/>
    <mergeCell ref="N106:O106"/>
    <mergeCell ref="P106:Q106"/>
    <mergeCell ref="R106:S106"/>
    <mergeCell ref="T108:U108"/>
    <mergeCell ref="G109:H109"/>
    <mergeCell ref="J109:K109"/>
    <mergeCell ref="N109:O109"/>
    <mergeCell ref="P109:Q109"/>
    <mergeCell ref="R109:S109"/>
    <mergeCell ref="T109:U109"/>
    <mergeCell ref="G108:H108"/>
    <mergeCell ref="J108:K108"/>
    <mergeCell ref="N108:O108"/>
    <mergeCell ref="P108:Q108"/>
    <mergeCell ref="R108:S108"/>
    <mergeCell ref="T110:U110"/>
    <mergeCell ref="G111:H111"/>
    <mergeCell ref="J111:K111"/>
    <mergeCell ref="N111:O111"/>
    <mergeCell ref="P111:Q111"/>
    <mergeCell ref="R111:S111"/>
    <mergeCell ref="T111:U111"/>
    <mergeCell ref="G110:H110"/>
    <mergeCell ref="J110:K110"/>
    <mergeCell ref="N110:O110"/>
    <mergeCell ref="P110:Q110"/>
    <mergeCell ref="R110:S110"/>
    <mergeCell ref="T112:U112"/>
    <mergeCell ref="T113:U113"/>
    <mergeCell ref="L115:M115"/>
    <mergeCell ref="Q115:R115"/>
    <mergeCell ref="L116:M116"/>
    <mergeCell ref="Q116:R116"/>
    <mergeCell ref="G112:H112"/>
    <mergeCell ref="J112:K112"/>
    <mergeCell ref="N112:O112"/>
    <mergeCell ref="P112:Q112"/>
    <mergeCell ref="R112:S112"/>
    <mergeCell ref="D134:E134"/>
    <mergeCell ref="B125:H125"/>
    <mergeCell ref="D129:E129"/>
    <mergeCell ref="F129:G129"/>
    <mergeCell ref="H129:I129"/>
    <mergeCell ref="J129:K129"/>
    <mergeCell ref="B119:H119"/>
    <mergeCell ref="L121:M121"/>
    <mergeCell ref="Q121:R121"/>
    <mergeCell ref="L122:M122"/>
    <mergeCell ref="Q122:R122"/>
    <mergeCell ref="A1:W1"/>
    <mergeCell ref="H133:I133"/>
    <mergeCell ref="J133:K133"/>
    <mergeCell ref="H134:I134"/>
    <mergeCell ref="J134:K134"/>
    <mergeCell ref="H135:I135"/>
    <mergeCell ref="J135:K135"/>
    <mergeCell ref="H130:I130"/>
    <mergeCell ref="J130:K130"/>
    <mergeCell ref="H131:I131"/>
    <mergeCell ref="J131:K131"/>
    <mergeCell ref="H132:I132"/>
    <mergeCell ref="J132:K132"/>
    <mergeCell ref="D135:E135"/>
    <mergeCell ref="F130:G130"/>
    <mergeCell ref="F131:G131"/>
    <mergeCell ref="F132:G132"/>
    <mergeCell ref="F133:G133"/>
    <mergeCell ref="F134:G134"/>
    <mergeCell ref="F135:G135"/>
    <mergeCell ref="D130:E130"/>
    <mergeCell ref="D131:E131"/>
    <mergeCell ref="D132:E132"/>
    <mergeCell ref="D133:E133"/>
  </mergeCells>
  <pageMargins left="0.7" right="0.7" top="0.75" bottom="0.75" header="0.3" footer="0.3"/>
  <pageSetup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5</xdr:row>
                    <xdr:rowOff>180975</xdr:rowOff>
                  </from>
                  <to>
                    <xdr:col>4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257175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6:J24"/>
  <sheetViews>
    <sheetView topLeftCell="A13" workbookViewId="0">
      <selection activeCell="E26" sqref="E26"/>
    </sheetView>
  </sheetViews>
  <sheetFormatPr baseColWidth="10" defaultRowHeight="14.25" x14ac:dyDescent="0.2"/>
  <sheetData>
    <row r="6" spans="2:10" ht="15" x14ac:dyDescent="0.25">
      <c r="B6" s="89" t="s">
        <v>83</v>
      </c>
      <c r="C6" s="83"/>
      <c r="D6" s="83"/>
      <c r="E6" s="83"/>
      <c r="F6" s="83"/>
      <c r="G6" s="83"/>
      <c r="H6" s="83"/>
      <c r="I6" s="86"/>
      <c r="J6" s="83"/>
    </row>
    <row r="7" spans="2:10" ht="15" thickBot="1" x14ac:dyDescent="0.25">
      <c r="B7" s="86"/>
      <c r="C7" s="83"/>
      <c r="D7" s="87" t="s">
        <v>84</v>
      </c>
      <c r="E7" s="83"/>
      <c r="F7" s="83"/>
      <c r="G7" s="83"/>
      <c r="H7" s="87" t="s">
        <v>85</v>
      </c>
      <c r="I7" s="86"/>
      <c r="J7" s="83"/>
    </row>
    <row r="8" spans="2:10" ht="15" x14ac:dyDescent="0.25">
      <c r="B8" s="86"/>
      <c r="C8" s="90" t="s">
        <v>86</v>
      </c>
      <c r="D8" s="91" t="s">
        <v>87</v>
      </c>
      <c r="E8" s="91" t="s">
        <v>88</v>
      </c>
      <c r="F8" s="92" t="s">
        <v>89</v>
      </c>
      <c r="G8" s="90" t="s">
        <v>86</v>
      </c>
      <c r="H8" s="91" t="s">
        <v>87</v>
      </c>
      <c r="I8" s="91" t="s">
        <v>88</v>
      </c>
      <c r="J8" s="92" t="s">
        <v>89</v>
      </c>
    </row>
    <row r="9" spans="2:10" x14ac:dyDescent="0.2">
      <c r="B9" s="108" t="s">
        <v>90</v>
      </c>
      <c r="C9" s="106">
        <v>-1.05</v>
      </c>
      <c r="D9" s="106">
        <v>-0.65</v>
      </c>
      <c r="E9" s="106">
        <v>0.22</v>
      </c>
      <c r="F9" s="106">
        <v>16.54</v>
      </c>
      <c r="G9" s="106">
        <v>2.04</v>
      </c>
      <c r="H9" s="106">
        <v>1.34</v>
      </c>
      <c r="I9" s="106">
        <v>-0.49</v>
      </c>
      <c r="J9" s="106">
        <v>-4.01</v>
      </c>
    </row>
    <row r="10" spans="2:10" x14ac:dyDescent="0.2">
      <c r="B10" s="108" t="s">
        <v>91</v>
      </c>
      <c r="C10" s="106">
        <v>-62.76</v>
      </c>
      <c r="D10" s="106">
        <v>-7.61</v>
      </c>
      <c r="E10" s="106">
        <v>-6.31</v>
      </c>
      <c r="F10" s="106">
        <v>16.010000000000002</v>
      </c>
      <c r="G10" s="85"/>
      <c r="H10" s="85"/>
      <c r="I10" s="85"/>
      <c r="J10" s="93"/>
    </row>
    <row r="11" spans="2:10" x14ac:dyDescent="0.2">
      <c r="B11" s="108" t="s">
        <v>92</v>
      </c>
      <c r="C11" s="106">
        <v>2.75</v>
      </c>
      <c r="D11" s="85" t="s">
        <v>93</v>
      </c>
      <c r="E11" s="85"/>
      <c r="F11" s="93"/>
      <c r="G11" s="105"/>
      <c r="H11" s="85"/>
      <c r="I11" s="85"/>
      <c r="J11" s="93"/>
    </row>
    <row r="12" spans="2:10" x14ac:dyDescent="0.2">
      <c r="B12" s="108" t="s">
        <v>94</v>
      </c>
      <c r="C12" s="107">
        <v>220000</v>
      </c>
      <c r="D12" s="94" t="s">
        <v>95</v>
      </c>
      <c r="E12" s="94"/>
      <c r="F12" s="95"/>
      <c r="G12" s="105"/>
      <c r="H12" s="85"/>
      <c r="I12" s="85"/>
      <c r="J12" s="93"/>
    </row>
    <row r="13" spans="2:10" x14ac:dyDescent="0.2">
      <c r="B13" s="86"/>
      <c r="C13" s="96" t="s">
        <v>91</v>
      </c>
      <c r="D13" s="97" t="s">
        <v>96</v>
      </c>
      <c r="E13" s="97" t="s">
        <v>97</v>
      </c>
      <c r="F13" s="98" t="s">
        <v>98</v>
      </c>
      <c r="G13" s="96" t="s">
        <v>99</v>
      </c>
      <c r="H13" s="97" t="s">
        <v>100</v>
      </c>
      <c r="I13" s="97" t="s">
        <v>96</v>
      </c>
      <c r="J13" s="98" t="s">
        <v>97</v>
      </c>
    </row>
    <row r="14" spans="2:10" x14ac:dyDescent="0.2">
      <c r="B14" s="109" t="s">
        <v>101</v>
      </c>
      <c r="C14" s="99">
        <v>119.196</v>
      </c>
      <c r="D14" s="100">
        <v>-3.2182919999999999</v>
      </c>
      <c r="E14" s="100">
        <v>4.5900000000000007</v>
      </c>
      <c r="F14" s="101">
        <v>0.4</v>
      </c>
      <c r="G14" s="99">
        <v>1368.9049148031797</v>
      </c>
      <c r="H14" s="100">
        <v>1</v>
      </c>
      <c r="I14" s="100">
        <v>3.2182919999999999</v>
      </c>
      <c r="J14" s="101">
        <v>4.5900000000000007</v>
      </c>
    </row>
    <row r="15" spans="2:10" x14ac:dyDescent="0.2">
      <c r="B15" s="109" t="s">
        <v>102</v>
      </c>
      <c r="C15" s="99">
        <v>107.83799999999999</v>
      </c>
      <c r="D15" s="100">
        <v>-2.9116259999999996</v>
      </c>
      <c r="E15" s="100">
        <v>5.4720000000000004</v>
      </c>
      <c r="F15" s="101">
        <v>0.4</v>
      </c>
      <c r="G15" s="99">
        <v>1308.1077128896861</v>
      </c>
      <c r="H15" s="100">
        <v>1</v>
      </c>
      <c r="I15" s="100">
        <v>2.9116259999999996</v>
      </c>
      <c r="J15" s="101">
        <v>5.4720000000000004</v>
      </c>
    </row>
    <row r="16" spans="2:10" x14ac:dyDescent="0.2">
      <c r="B16" s="109" t="s">
        <v>103</v>
      </c>
      <c r="C16" s="99">
        <v>105.498</v>
      </c>
      <c r="D16" s="100">
        <v>-2.848446</v>
      </c>
      <c r="E16" s="100">
        <v>2.848446</v>
      </c>
      <c r="F16" s="101">
        <v>0.4</v>
      </c>
      <c r="G16" s="99">
        <v>1294.7227083550586</v>
      </c>
      <c r="H16" s="100">
        <v>1</v>
      </c>
      <c r="I16" s="100">
        <v>2.848446</v>
      </c>
      <c r="J16" s="101">
        <v>2.848446</v>
      </c>
    </row>
    <row r="17" spans="2:10" x14ac:dyDescent="0.2">
      <c r="B17" s="109" t="s">
        <v>104</v>
      </c>
      <c r="C17" s="99">
        <v>75.837500000000006</v>
      </c>
      <c r="D17" s="100">
        <v>18.824999999999996</v>
      </c>
      <c r="E17" s="100">
        <v>-2.0476125000000001</v>
      </c>
      <c r="F17" s="101">
        <v>0.55649163346613539</v>
      </c>
      <c r="G17" s="99">
        <v>1225.0272614200608</v>
      </c>
      <c r="H17" s="100">
        <v>1</v>
      </c>
      <c r="I17" s="100">
        <v>18.824999999999996</v>
      </c>
      <c r="J17" s="101">
        <v>2.0476125000000001</v>
      </c>
    </row>
    <row r="18" spans="2:10" x14ac:dyDescent="0.2">
      <c r="B18" s="109" t="s">
        <v>105</v>
      </c>
      <c r="C18" s="99">
        <v>115.86250000000001</v>
      </c>
      <c r="D18" s="100">
        <v>-22.524999999999999</v>
      </c>
      <c r="E18" s="100">
        <v>8.625</v>
      </c>
      <c r="F18" s="101">
        <v>0.44683684794672585</v>
      </c>
      <c r="G18" s="99">
        <v>1460.8913073145761</v>
      </c>
      <c r="H18" s="100">
        <v>1</v>
      </c>
      <c r="I18" s="100">
        <v>22.524999999999999</v>
      </c>
      <c r="J18" s="101">
        <v>8.625</v>
      </c>
    </row>
    <row r="19" spans="2:10" x14ac:dyDescent="0.2">
      <c r="B19" s="109" t="s">
        <v>106</v>
      </c>
      <c r="C19" s="99">
        <v>67.95</v>
      </c>
      <c r="D19" s="100">
        <v>18.549999999999997</v>
      </c>
      <c r="E19" s="100">
        <v>-1.8346500000000001</v>
      </c>
      <c r="F19" s="101">
        <v>0.56043881401617246</v>
      </c>
      <c r="G19" s="99">
        <v>1225.0272614200608</v>
      </c>
      <c r="H19" s="100">
        <v>1</v>
      </c>
      <c r="I19" s="100">
        <v>18.549999999999997</v>
      </c>
      <c r="J19" s="101">
        <v>1.8346500000000001</v>
      </c>
    </row>
    <row r="20" spans="2:10" x14ac:dyDescent="0.2">
      <c r="B20" s="109" t="s">
        <v>107</v>
      </c>
      <c r="C20" s="99">
        <v>66.325000000000003</v>
      </c>
      <c r="D20" s="100">
        <v>19.637499999999996</v>
      </c>
      <c r="E20" s="100">
        <v>-3.0749999999999993</v>
      </c>
      <c r="F20" s="101">
        <v>0.53736473583704647</v>
      </c>
      <c r="G20" s="99">
        <v>1225.0272614200608</v>
      </c>
      <c r="H20" s="100">
        <v>1</v>
      </c>
      <c r="I20" s="100">
        <v>19.637499999999996</v>
      </c>
      <c r="J20" s="101">
        <v>3.0749999999999993</v>
      </c>
    </row>
    <row r="21" spans="2:10" x14ac:dyDescent="0.2">
      <c r="B21" s="109" t="s">
        <v>108</v>
      </c>
      <c r="C21" s="99">
        <v>107.97500000000001</v>
      </c>
      <c r="D21" s="100">
        <v>-22.799999999999997</v>
      </c>
      <c r="E21" s="100">
        <v>9.2374999999999989</v>
      </c>
      <c r="F21" s="101">
        <v>0.43793859649122802</v>
      </c>
      <c r="G21" s="99">
        <v>1419.0405637852336</v>
      </c>
      <c r="H21" s="100">
        <v>1</v>
      </c>
      <c r="I21" s="100">
        <v>22.799999999999997</v>
      </c>
      <c r="J21" s="101">
        <v>9.2374999999999989</v>
      </c>
    </row>
    <row r="22" spans="2:10" x14ac:dyDescent="0.2">
      <c r="B22" s="109" t="s">
        <v>109</v>
      </c>
      <c r="C22" s="99">
        <v>106.35000000000001</v>
      </c>
      <c r="D22" s="100">
        <v>-21.712499999999999</v>
      </c>
      <c r="E22" s="100">
        <v>6.9499999999999993</v>
      </c>
      <c r="F22" s="101">
        <v>0.47196315486470924</v>
      </c>
      <c r="G22" s="99">
        <v>1409.9745590045829</v>
      </c>
      <c r="H22" s="100">
        <v>1</v>
      </c>
      <c r="I22" s="100">
        <v>21.712499999999999</v>
      </c>
      <c r="J22" s="101">
        <v>6.9499999999999993</v>
      </c>
    </row>
    <row r="23" spans="2:10" x14ac:dyDescent="0.2">
      <c r="B23" s="109" t="s">
        <v>110</v>
      </c>
      <c r="C23" s="99">
        <v>36.471499999999999</v>
      </c>
      <c r="D23" s="100">
        <v>19.729999999999997</v>
      </c>
      <c r="E23" s="100">
        <v>-3.176499999999999</v>
      </c>
      <c r="F23" s="101">
        <v>0.53560060821084643</v>
      </c>
      <c r="G23" s="99">
        <v>1225.0272614200608</v>
      </c>
      <c r="H23" s="100">
        <v>1</v>
      </c>
      <c r="I23" s="100">
        <v>19.729999999999997</v>
      </c>
      <c r="J23" s="101">
        <v>3.176499999999999</v>
      </c>
    </row>
    <row r="24" spans="2:10" ht="15" thickBot="1" x14ac:dyDescent="0.25">
      <c r="B24" s="109" t="s">
        <v>111</v>
      </c>
      <c r="C24" s="102">
        <v>76.496499999999997</v>
      </c>
      <c r="D24" s="103">
        <v>-21.619999999999997</v>
      </c>
      <c r="E24" s="103">
        <v>6.8484999999999996</v>
      </c>
      <c r="F24" s="104">
        <v>0.47329324699352449</v>
      </c>
      <c r="G24" s="102">
        <v>1409.3840510935015</v>
      </c>
      <c r="H24" s="103">
        <v>1</v>
      </c>
      <c r="I24" s="103">
        <v>21.619999999999997</v>
      </c>
      <c r="J24" s="104">
        <v>6.8484999999999996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M20"/>
  <sheetViews>
    <sheetView topLeftCell="A7" zoomScale="50" zoomScaleNormal="50" workbookViewId="0">
      <selection activeCell="AY41" sqref="AY41"/>
    </sheetView>
  </sheetViews>
  <sheetFormatPr baseColWidth="10" defaultColWidth="3.625" defaultRowHeight="14.25" x14ac:dyDescent="0.2"/>
  <cols>
    <col min="4" max="4" width="3.875" bestFit="1" customWidth="1"/>
    <col min="5" max="5" width="4" customWidth="1"/>
    <col min="7" max="7" width="4.5" bestFit="1" customWidth="1"/>
    <col min="51" max="51" width="3.75" bestFit="1" customWidth="1"/>
    <col min="52" max="52" width="5.125" bestFit="1" customWidth="1"/>
    <col min="54" max="54" width="3.75" bestFit="1" customWidth="1"/>
    <col min="56" max="56" width="5.125" bestFit="1" customWidth="1"/>
    <col min="58" max="58" width="3.75" bestFit="1" customWidth="1"/>
  </cols>
  <sheetData>
    <row r="3" spans="2:13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x14ac:dyDescent="0.2">
      <c r="B4" s="88"/>
      <c r="C4" s="88"/>
      <c r="E4" s="88"/>
      <c r="F4" s="88"/>
      <c r="G4" s="88"/>
      <c r="H4" s="88"/>
      <c r="I4" s="88"/>
      <c r="J4" s="88"/>
      <c r="K4" s="88"/>
      <c r="L4" s="88"/>
      <c r="M4" s="88"/>
    </row>
    <row r="5" spans="2:13" x14ac:dyDescent="0.2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2:13" x14ac:dyDescent="0.2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2:13" x14ac:dyDescent="0.2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2:13" x14ac:dyDescent="0.2">
      <c r="B8" s="88"/>
      <c r="C8" s="88"/>
      <c r="D8" s="88"/>
      <c r="E8" s="81"/>
      <c r="F8" s="88"/>
      <c r="G8" s="88"/>
      <c r="H8" s="88"/>
      <c r="I8" s="88"/>
      <c r="J8" s="88"/>
      <c r="K8" s="88"/>
      <c r="L8" s="88"/>
      <c r="M8" s="88"/>
    </row>
    <row r="9" spans="2:13" x14ac:dyDescent="0.2"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2:13" x14ac:dyDescent="0.2"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2:13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spans="2:13" x14ac:dyDescent="0.2"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</row>
    <row r="13" spans="2:13" x14ac:dyDescent="0.2"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2:13" x14ac:dyDescent="0.2"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2:13" x14ac:dyDescent="0.2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</row>
    <row r="16" spans="2:13" x14ac:dyDescent="0.2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</row>
    <row r="17" spans="2:13" x14ac:dyDescent="0.2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</row>
    <row r="18" spans="2:13" x14ac:dyDescent="0.2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2:13" x14ac:dyDescent="0.2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pans="2:13" x14ac:dyDescent="0.2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CONSTRUCCION DEL DIAGRAMA</vt:lpstr>
      <vt:lpstr>DISEÑO DE COLUMNAS</vt:lpstr>
      <vt:lpstr>DIAGRAMA DE ITERACCION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</dc:creator>
  <cp:lastModifiedBy>USUARIO</cp:lastModifiedBy>
  <cp:lastPrinted>2009-03-22T22:12:00Z</cp:lastPrinted>
  <dcterms:created xsi:type="dcterms:W3CDTF">2009-03-22T14:48:34Z</dcterms:created>
  <dcterms:modified xsi:type="dcterms:W3CDTF">2014-08-04T22:15:03Z</dcterms:modified>
</cp:coreProperties>
</file>