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xcel Sheets\Foundation\"/>
    </mc:Choice>
  </mc:AlternateContent>
  <bookViews>
    <workbookView xWindow="0" yWindow="0" windowWidth="12525" windowHeight="9300"/>
  </bookViews>
  <sheets>
    <sheet name="Main" sheetId="1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Q99" i="1" l="1"/>
  <c r="P70" i="1"/>
  <c r="Q48" i="1"/>
  <c r="Q42" i="1"/>
  <c r="Q41" i="1"/>
  <c r="Q36" i="1" s="1"/>
  <c r="Q40" i="1"/>
  <c r="Q22" i="1"/>
  <c r="Q16" i="1"/>
  <c r="U13" i="1"/>
  <c r="P12" i="1"/>
  <c r="U8" i="1"/>
  <c r="U7" i="1"/>
  <c r="U6" i="1"/>
  <c r="E99" i="1"/>
  <c r="Q49" i="1" l="1"/>
  <c r="Q50" i="1" s="1"/>
  <c r="Q56" i="1"/>
  <c r="Q57" i="1" s="1"/>
  <c r="Q58" i="1" s="1"/>
  <c r="D70" i="1"/>
  <c r="I8" i="1"/>
  <c r="D12" i="1"/>
  <c r="I13" i="1"/>
  <c r="I7" i="1"/>
  <c r="I6" i="1"/>
  <c r="E40" i="1"/>
  <c r="E41" i="1" s="1"/>
  <c r="E42" i="1" s="1"/>
  <c r="E16" i="1"/>
  <c r="E22" i="1"/>
  <c r="Q51" i="1" l="1"/>
  <c r="Q52" i="1" s="1"/>
  <c r="Q53" i="1" s="1"/>
  <c r="E56" i="1"/>
  <c r="E57" i="1" s="1"/>
  <c r="E58" i="1" s="1"/>
  <c r="E48" i="1"/>
  <c r="E49" i="1" s="1"/>
  <c r="E50" i="1" s="1"/>
  <c r="E51" i="1" s="1"/>
  <c r="E52" i="1" s="1"/>
  <c r="E53" i="1" s="1"/>
  <c r="E36" i="1"/>
  <c r="Q60" i="1" l="1"/>
  <c r="U60" i="1" s="1"/>
  <c r="E60" i="1"/>
  <c r="I60" i="1" s="1"/>
  <c r="Q63" i="1" l="1"/>
  <c r="U63" i="1" s="1"/>
  <c r="U34" i="1" s="1"/>
  <c r="Q61" i="1"/>
  <c r="T32" i="1"/>
  <c r="E63" i="1"/>
  <c r="I63" i="1" s="1"/>
  <c r="E61" i="1"/>
  <c r="H32" i="1"/>
  <c r="E78" i="1" l="1"/>
  <c r="E79" i="1" s="1"/>
  <c r="E80" i="1" s="1"/>
  <c r="E81" i="1" s="1"/>
  <c r="I34" i="1"/>
  <c r="Q78" i="1"/>
  <c r="Q79" i="1" s="1"/>
  <c r="Q80" i="1" s="1"/>
  <c r="Q81" i="1" s="1"/>
  <c r="Q92" i="1"/>
  <c r="Q93" i="1" s="1"/>
  <c r="Q77" i="1"/>
  <c r="Q94" i="1"/>
  <c r="P92" i="1"/>
  <c r="Q67" i="1"/>
  <c r="Q68" i="1" s="1"/>
  <c r="Q69" i="1" s="1"/>
  <c r="Q70" i="1" s="1"/>
  <c r="Q84" i="1" s="1"/>
  <c r="E92" i="1"/>
  <c r="E93" i="1" s="1"/>
  <c r="E77" i="1"/>
  <c r="D92" i="1"/>
  <c r="E94" i="1"/>
  <c r="E67" i="1"/>
  <c r="E68" i="1" s="1"/>
  <c r="E69" i="1" s="1"/>
  <c r="E70" i="1" s="1"/>
  <c r="E84" i="1" s="1"/>
  <c r="Q82" i="1" l="1"/>
  <c r="Q85" i="1" s="1"/>
  <c r="Q86" i="1" s="1"/>
  <c r="Q95" i="1"/>
  <c r="Q96" i="1" s="1"/>
  <c r="Q97" i="1" s="1"/>
  <c r="O101" i="1" s="1"/>
  <c r="E82" i="1"/>
  <c r="E83" i="1" s="1"/>
  <c r="E95" i="1"/>
  <c r="E96" i="1" s="1"/>
  <c r="E97" i="1" s="1"/>
  <c r="E85" i="1" l="1"/>
  <c r="E86" i="1" s="1"/>
  <c r="H88" i="1" s="1"/>
  <c r="Q83" i="1"/>
  <c r="T88" i="1" s="1"/>
  <c r="T101" i="1"/>
  <c r="H101" i="1"/>
  <c r="O88" i="1" l="1"/>
  <c r="C88" i="1"/>
</calcChain>
</file>

<file path=xl/sharedStrings.xml><?xml version="1.0" encoding="utf-8"?>
<sst xmlns="http://schemas.openxmlformats.org/spreadsheetml/2006/main" count="226" uniqueCount="72">
  <si>
    <t>Dimension of Column</t>
  </si>
  <si>
    <t>Load on Column</t>
  </si>
  <si>
    <t>mm</t>
  </si>
  <si>
    <t>kN</t>
  </si>
  <si>
    <t>(b)</t>
  </si>
  <si>
    <t>(p)</t>
  </si>
  <si>
    <t>Total load</t>
  </si>
  <si>
    <t>Safe bearing capacity of soil</t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</si>
  <si>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</si>
  <si>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t>Length of footing</t>
  </si>
  <si>
    <t>(l)</t>
  </si>
  <si>
    <t>Upward pressure intensity</t>
  </si>
  <si>
    <t>Depth of footing</t>
  </si>
  <si>
    <t>Location of critical section from edge</t>
  </si>
  <si>
    <t>Maximum Moment</t>
  </si>
  <si>
    <t>kNm</t>
  </si>
  <si>
    <t>Factored moment</t>
  </si>
  <si>
    <t>Factor of safety</t>
  </si>
  <si>
    <t>or</t>
  </si>
  <si>
    <t>use</t>
  </si>
  <si>
    <t>(M)</t>
  </si>
  <si>
    <r>
      <t>(M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)</t>
    </r>
  </si>
  <si>
    <t>calculated depth of footing</t>
  </si>
  <si>
    <t>Characteristic strength of concrete</t>
  </si>
  <si>
    <t>Clear cover</t>
  </si>
  <si>
    <t>Dia of bars provided</t>
  </si>
  <si>
    <t>(Same along both directions)</t>
  </si>
  <si>
    <t>Overall depth</t>
  </si>
  <si>
    <t>%age depth(by BM consideration)</t>
  </si>
  <si>
    <t>Effective depth</t>
  </si>
  <si>
    <t>Bending moment consideration</t>
  </si>
  <si>
    <t>Punching shear consideration</t>
  </si>
  <si>
    <t>Punching load</t>
  </si>
  <si>
    <t>Factored punching load</t>
  </si>
  <si>
    <r>
      <t>N/mm</t>
    </r>
    <r>
      <rPr>
        <vertAlign val="superscript"/>
        <sz val="11"/>
        <color theme="1"/>
        <rFont val="Calibri"/>
        <family val="2"/>
        <scheme val="minor"/>
      </rPr>
      <t>2</t>
    </r>
  </si>
  <si>
    <t>Hence provide overall depth of</t>
  </si>
  <si>
    <t>So Effective depth</t>
  </si>
  <si>
    <t>Type of steel</t>
  </si>
  <si>
    <t>Steel calculations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</si>
  <si>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/bd</t>
    </r>
    <r>
      <rPr>
        <vertAlign val="superscript"/>
        <sz val="11"/>
        <color theme="1"/>
        <rFont val="Calibri"/>
        <family val="2"/>
        <scheme val="minor"/>
      </rPr>
      <t>2</t>
    </r>
  </si>
  <si>
    <t>%age of steel</t>
  </si>
  <si>
    <t>%</t>
  </si>
  <si>
    <t>Area of steel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</si>
  <si>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</si>
  <si>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units</t>
  </si>
  <si>
    <t>(along each direction)</t>
  </si>
  <si>
    <t>Depth at edge</t>
  </si>
  <si>
    <t>One way shear</t>
  </si>
  <si>
    <t>Critical section (from column)</t>
  </si>
  <si>
    <t>Eff. Depth at critical section</t>
  </si>
  <si>
    <t>(d')</t>
  </si>
  <si>
    <t>(D')</t>
  </si>
  <si>
    <t>overall  Depth at critical section</t>
  </si>
  <si>
    <t>Shear force at critical section</t>
  </si>
  <si>
    <t>Factored Shear force at critical section</t>
  </si>
  <si>
    <t>Width of footing at critical section</t>
  </si>
  <si>
    <t>Nominal Shear stress at location</t>
  </si>
  <si>
    <r>
      <t>(τ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</t>
    </r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</si>
  <si>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</si>
  <si>
    <t>Percentage of steel</t>
  </si>
  <si>
    <r>
      <t>For τ</t>
    </r>
    <r>
      <rPr>
        <b/>
        <vertAlign val="subscript"/>
        <sz val="14"/>
        <color theme="1"/>
        <rFont val="Calibri"/>
        <family val="2"/>
        <scheme val="minor"/>
      </rPr>
      <t>c</t>
    </r>
  </si>
  <si>
    <r>
      <t>(τ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</t>
    </r>
  </si>
  <si>
    <t>Design shear stress</t>
  </si>
  <si>
    <t>Two way shear</t>
  </si>
  <si>
    <t>Check for Shear at critical sections</t>
  </si>
  <si>
    <t>Corresponding effective depth</t>
  </si>
  <si>
    <t>Critical Perimeter</t>
  </si>
  <si>
    <t>Factored Shear</t>
  </si>
  <si>
    <t>Nominal Shear stress</t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</si>
  <si>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</si>
  <si>
    <t>Input</t>
  </si>
  <si>
    <t>Representation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</si>
</sst>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mm&quot;"/>
    <numFmt numFmtId="165" formatCode="&quot;M&quot;0"/>
    <numFmt numFmtId="166" formatCode="0&quot;kN&quot;"/>
    <numFmt numFmtId="167" formatCode="&quot;Fe &quot;0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5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2" xfId="0" applyFill="1" applyBorder="1"/>
    <xf numFmtId="0" fontId="0" fillId="4" borderId="3" xfId="0" applyFill="1" applyBorder="1"/>
    <xf numFmtId="0" fontId="2" fillId="0" borderId="0" xfId="0" applyFont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10" fontId="0" fillId="0" borderId="0" xfId="0" applyNumberFormat="1"/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Font="1"/>
    <xf numFmtId="0" fontId="0" fillId="0" borderId="15" xfId="0" applyBorder="1"/>
    <xf numFmtId="0" fontId="5" fillId="0" borderId="12" xfId="2"/>
    <xf numFmtId="0" fontId="6" fillId="0" borderId="13" xfId="3"/>
    <xf numFmtId="0" fontId="7" fillId="0" borderId="14" xfId="4"/>
    <xf numFmtId="0" fontId="0" fillId="0" borderId="16" xfId="0" applyBorder="1"/>
    <xf numFmtId="0" fontId="1" fillId="2" borderId="1" xfId="1" applyProtection="1">
      <protection locked="0"/>
    </xf>
    <xf numFmtId="167" fontId="1" fillId="2" borderId="1" xfId="1" applyNumberFormat="1" applyAlignment="1" applyProtection="1">
      <alignment horizontal="center"/>
      <protection locked="0"/>
    </xf>
    <xf numFmtId="165" fontId="1" fillId="2" borderId="1" xfId="1" applyNumberFormat="1" applyAlignment="1" applyProtection="1">
      <alignment horizontal="center"/>
      <protection locked="0"/>
    </xf>
    <xf numFmtId="0" fontId="1" fillId="2" borderId="1" xfId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7" fillId="0" borderId="14" xfId="4" applyAlignment="1">
      <alignment horizontal="center"/>
    </xf>
    <xf numFmtId="0" fontId="6" fillId="0" borderId="13" xfId="3" applyAlignment="1">
      <alignment horizontal="center"/>
    </xf>
    <xf numFmtId="0" fontId="0" fillId="0" borderId="0" xfId="0" applyAlignment="1">
      <alignment horizontal="center"/>
    </xf>
    <xf numFmtId="164" fontId="0" fillId="4" borderId="3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Heading 1" xfId="2" builtinId="16"/>
    <cellStyle name="Heading 2" xfId="3" builtinId="17"/>
    <cellStyle name="Heading 3" xfId="4" builtinId="18"/>
    <cellStyle name="Input" xfId="1" builtinId="20"/>
    <cellStyle name="Normal" xfId="0" builtinId="0"/>
  </cellStyles>
  <dxfs count="4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600076</xdr:colOff>
      <xdr:row>22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3048000" y="762000"/>
          <a:ext cx="6000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22</xdr:row>
      <xdr:rowOff>0</xdr:rowOff>
    </xdr:from>
    <xdr:to>
      <xdr:col>4</xdr:col>
      <xdr:colOff>0</xdr:colOff>
      <xdr:row>22</xdr:row>
      <xdr:rowOff>0</xdr:rowOff>
    </xdr:to>
    <xdr:cxnSp macro="">
      <xdr:nvCxnSpPr>
        <xdr:cNvPr id="5" name="Straight Arrow Connector 4"/>
        <xdr:cNvCxnSpPr/>
      </xdr:nvCxnSpPr>
      <xdr:spPr>
        <a:xfrm>
          <a:off x="1838324" y="4572000"/>
          <a:ext cx="6000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16</xdr:row>
      <xdr:rowOff>0</xdr:rowOff>
    </xdr:from>
    <xdr:to>
      <xdr:col>4</xdr:col>
      <xdr:colOff>304800</xdr:colOff>
      <xdr:row>19</xdr:row>
      <xdr:rowOff>0</xdr:rowOff>
    </xdr:to>
    <xdr:cxnSp macro="">
      <xdr:nvCxnSpPr>
        <xdr:cNvPr id="7" name="Straight Arrow Connector 6"/>
        <xdr:cNvCxnSpPr/>
      </xdr:nvCxnSpPr>
      <xdr:spPr>
        <a:xfrm>
          <a:off x="2743200" y="4191000"/>
          <a:ext cx="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36</xdr:row>
      <xdr:rowOff>0</xdr:rowOff>
    </xdr:from>
    <xdr:to>
      <xdr:col>7</xdr:col>
      <xdr:colOff>4800</xdr:colOff>
      <xdr:row>36</xdr:row>
      <xdr:rowOff>0</xdr:rowOff>
    </xdr:to>
    <xdr:cxnSp macro="">
      <xdr:nvCxnSpPr>
        <xdr:cNvPr id="8" name="Straight Arrow Connector 7"/>
        <xdr:cNvCxnSpPr/>
      </xdr:nvCxnSpPr>
      <xdr:spPr>
        <a:xfrm flipH="1">
          <a:off x="3048000" y="7620000"/>
          <a:ext cx="12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604800</xdr:colOff>
      <xdr:row>36</xdr:row>
      <xdr:rowOff>0</xdr:rowOff>
    </xdr:from>
    <xdr:to>
      <xdr:col>4</xdr:col>
      <xdr:colOff>0</xdr:colOff>
      <xdr:row>36</xdr:row>
      <xdr:rowOff>0</xdr:rowOff>
    </xdr:to>
    <xdr:cxnSp macro="">
      <xdr:nvCxnSpPr>
        <xdr:cNvPr id="9" name="Straight Arrow Connector 8"/>
        <xdr:cNvCxnSpPr/>
      </xdr:nvCxnSpPr>
      <xdr:spPr>
        <a:xfrm>
          <a:off x="1214400" y="7620000"/>
          <a:ext cx="12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29</xdr:row>
      <xdr:rowOff>0</xdr:rowOff>
    </xdr:from>
    <xdr:to>
      <xdr:col>7</xdr:col>
      <xdr:colOff>304800</xdr:colOff>
      <xdr:row>31</xdr:row>
      <xdr:rowOff>87000</xdr:rowOff>
    </xdr:to>
    <xdr:cxnSp macro="">
      <xdr:nvCxnSpPr>
        <xdr:cNvPr id="10" name="Straight Arrow Connector 9"/>
        <xdr:cNvCxnSpPr/>
      </xdr:nvCxnSpPr>
      <xdr:spPr>
        <a:xfrm>
          <a:off x="4552950" y="6724650"/>
          <a:ext cx="0" cy="468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32</xdr:row>
      <xdr:rowOff>103500</xdr:rowOff>
    </xdr:from>
    <xdr:to>
      <xdr:col>7</xdr:col>
      <xdr:colOff>304800</xdr:colOff>
      <xdr:row>35</xdr:row>
      <xdr:rowOff>0</xdr:rowOff>
    </xdr:to>
    <xdr:cxnSp macro="">
      <xdr:nvCxnSpPr>
        <xdr:cNvPr id="11" name="Straight Arrow Connector 10"/>
        <xdr:cNvCxnSpPr/>
      </xdr:nvCxnSpPr>
      <xdr:spPr>
        <a:xfrm flipV="1">
          <a:off x="4552950" y="7399650"/>
          <a:ext cx="0" cy="468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7</xdr:col>
      <xdr:colOff>0</xdr:colOff>
      <xdr:row>33</xdr:row>
      <xdr:rowOff>0</xdr:rowOff>
    </xdr:to>
    <xdr:cxnSp macro="">
      <xdr:nvCxnSpPr>
        <xdr:cNvPr id="13" name="Straight Connector 12"/>
        <xdr:cNvCxnSpPr/>
      </xdr:nvCxnSpPr>
      <xdr:spPr>
        <a:xfrm>
          <a:off x="3028950" y="6724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33</xdr:row>
      <xdr:rowOff>0</xdr:rowOff>
    </xdr:to>
    <xdr:cxnSp macro="">
      <xdr:nvCxnSpPr>
        <xdr:cNvPr id="17" name="Straight Connector 16"/>
        <xdr:cNvCxnSpPr/>
      </xdr:nvCxnSpPr>
      <xdr:spPr>
        <a:xfrm flipH="1">
          <a:off x="1219200" y="6724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8" name="Right Triangle 17"/>
        <xdr:cNvSpPr/>
      </xdr:nvSpPr>
      <xdr:spPr>
        <a:xfrm>
          <a:off x="3028950" y="6724650"/>
          <a:ext cx="1219200" cy="762000"/>
        </a:xfrm>
        <a:prstGeom prst="rtTriangle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9" name="Right Triangle 18"/>
        <xdr:cNvSpPr/>
      </xdr:nvSpPr>
      <xdr:spPr>
        <a:xfrm flipH="1">
          <a:off x="1219200" y="6724650"/>
          <a:ext cx="1219200" cy="762000"/>
        </a:xfrm>
        <a:prstGeom prst="rtTriangle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33</xdr:row>
      <xdr:rowOff>0</xdr:rowOff>
    </xdr:to>
    <xdr:cxnSp macro="">
      <xdr:nvCxnSpPr>
        <xdr:cNvPr id="21" name="Straight Connector 20"/>
        <xdr:cNvCxnSpPr>
          <a:stCxn id="19" idx="4"/>
          <a:endCxn id="19" idx="0"/>
        </xdr:cNvCxnSpPr>
      </xdr:nvCxnSpPr>
      <xdr:spPr>
        <a:xfrm flipV="1">
          <a:off x="1219200" y="6724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7</xdr:col>
      <xdr:colOff>0</xdr:colOff>
      <xdr:row>33</xdr:row>
      <xdr:rowOff>0</xdr:rowOff>
    </xdr:to>
    <xdr:cxnSp macro="">
      <xdr:nvCxnSpPr>
        <xdr:cNvPr id="23" name="Straight Connector 22"/>
        <xdr:cNvCxnSpPr>
          <a:stCxn id="18" idx="0"/>
          <a:endCxn id="18" idx="4"/>
        </xdr:cNvCxnSpPr>
      </xdr:nvCxnSpPr>
      <xdr:spPr>
        <a:xfrm>
          <a:off x="3028950" y="6724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31</xdr:row>
      <xdr:rowOff>0</xdr:rowOff>
    </xdr:from>
    <xdr:to>
      <xdr:col>8</xdr:col>
      <xdr:colOff>304800</xdr:colOff>
      <xdr:row>33</xdr:row>
      <xdr:rowOff>0</xdr:rowOff>
    </xdr:to>
    <xdr:cxnSp macro="">
      <xdr:nvCxnSpPr>
        <xdr:cNvPr id="25" name="Straight Arrow Connector 24"/>
        <xdr:cNvCxnSpPr/>
      </xdr:nvCxnSpPr>
      <xdr:spPr>
        <a:xfrm>
          <a:off x="5162550" y="710565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34</xdr:row>
      <xdr:rowOff>180975</xdr:rowOff>
    </xdr:from>
    <xdr:to>
      <xdr:col>8</xdr:col>
      <xdr:colOff>304800</xdr:colOff>
      <xdr:row>36</xdr:row>
      <xdr:rowOff>180975</xdr:rowOff>
    </xdr:to>
    <xdr:cxnSp macro="">
      <xdr:nvCxnSpPr>
        <xdr:cNvPr id="26" name="Straight Arrow Connector 25"/>
        <xdr:cNvCxnSpPr/>
      </xdr:nvCxnSpPr>
      <xdr:spPr>
        <a:xfrm flipV="1">
          <a:off x="5162550" y="78581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22</xdr:row>
      <xdr:rowOff>0</xdr:rowOff>
    </xdr:from>
    <xdr:to>
      <xdr:col>17</xdr:col>
      <xdr:colOff>600076</xdr:colOff>
      <xdr:row>22</xdr:row>
      <xdr:rowOff>0</xdr:rowOff>
    </xdr:to>
    <xdr:cxnSp macro="">
      <xdr:nvCxnSpPr>
        <xdr:cNvPr id="20" name="Straight Arrow Connector 19"/>
        <xdr:cNvCxnSpPr/>
      </xdr:nvCxnSpPr>
      <xdr:spPr>
        <a:xfrm flipH="1">
          <a:off x="3028950" y="4248150"/>
          <a:ext cx="6000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22</xdr:row>
      <xdr:rowOff>0</xdr:rowOff>
    </xdr:from>
    <xdr:to>
      <xdr:col>16</xdr:col>
      <xdr:colOff>0</xdr:colOff>
      <xdr:row>22</xdr:row>
      <xdr:rowOff>0</xdr:rowOff>
    </xdr:to>
    <xdr:cxnSp macro="">
      <xdr:nvCxnSpPr>
        <xdr:cNvPr id="22" name="Straight Arrow Connector 21"/>
        <xdr:cNvCxnSpPr/>
      </xdr:nvCxnSpPr>
      <xdr:spPr>
        <a:xfrm>
          <a:off x="1838324" y="4248150"/>
          <a:ext cx="6000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304800</xdr:colOff>
      <xdr:row>16</xdr:row>
      <xdr:rowOff>0</xdr:rowOff>
    </xdr:from>
    <xdr:to>
      <xdr:col>16</xdr:col>
      <xdr:colOff>304800</xdr:colOff>
      <xdr:row>19</xdr:row>
      <xdr:rowOff>0</xdr:rowOff>
    </xdr:to>
    <xdr:cxnSp macro="">
      <xdr:nvCxnSpPr>
        <xdr:cNvPr id="24" name="Straight Arrow Connector 23"/>
        <xdr:cNvCxnSpPr/>
      </xdr:nvCxnSpPr>
      <xdr:spPr>
        <a:xfrm>
          <a:off x="2743200" y="3105150"/>
          <a:ext cx="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36</xdr:row>
      <xdr:rowOff>0</xdr:rowOff>
    </xdr:from>
    <xdr:to>
      <xdr:col>19</xdr:col>
      <xdr:colOff>4800</xdr:colOff>
      <xdr:row>36</xdr:row>
      <xdr:rowOff>0</xdr:rowOff>
    </xdr:to>
    <xdr:cxnSp macro="">
      <xdr:nvCxnSpPr>
        <xdr:cNvPr id="27" name="Straight Arrow Connector 26"/>
        <xdr:cNvCxnSpPr/>
      </xdr:nvCxnSpPr>
      <xdr:spPr>
        <a:xfrm flipH="1">
          <a:off x="3028950" y="6915150"/>
          <a:ext cx="12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604800</xdr:colOff>
      <xdr:row>36</xdr:row>
      <xdr:rowOff>0</xdr:rowOff>
    </xdr:from>
    <xdr:to>
      <xdr:col>16</xdr:col>
      <xdr:colOff>0</xdr:colOff>
      <xdr:row>36</xdr:row>
      <xdr:rowOff>0</xdr:rowOff>
    </xdr:to>
    <xdr:cxnSp macro="">
      <xdr:nvCxnSpPr>
        <xdr:cNvPr id="28" name="Straight Arrow Connector 27"/>
        <xdr:cNvCxnSpPr/>
      </xdr:nvCxnSpPr>
      <xdr:spPr>
        <a:xfrm>
          <a:off x="1214400" y="6915150"/>
          <a:ext cx="12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29</xdr:row>
      <xdr:rowOff>0</xdr:rowOff>
    </xdr:from>
    <xdr:to>
      <xdr:col>19</xdr:col>
      <xdr:colOff>304800</xdr:colOff>
      <xdr:row>31</xdr:row>
      <xdr:rowOff>87000</xdr:rowOff>
    </xdr:to>
    <xdr:cxnSp macro="">
      <xdr:nvCxnSpPr>
        <xdr:cNvPr id="29" name="Straight Arrow Connector 28"/>
        <xdr:cNvCxnSpPr/>
      </xdr:nvCxnSpPr>
      <xdr:spPr>
        <a:xfrm>
          <a:off x="4552950" y="5581650"/>
          <a:ext cx="0" cy="468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32</xdr:row>
      <xdr:rowOff>103500</xdr:rowOff>
    </xdr:from>
    <xdr:to>
      <xdr:col>19</xdr:col>
      <xdr:colOff>304800</xdr:colOff>
      <xdr:row>35</xdr:row>
      <xdr:rowOff>0</xdr:rowOff>
    </xdr:to>
    <xdr:cxnSp macro="">
      <xdr:nvCxnSpPr>
        <xdr:cNvPr id="30" name="Straight Arrow Connector 29"/>
        <xdr:cNvCxnSpPr/>
      </xdr:nvCxnSpPr>
      <xdr:spPr>
        <a:xfrm flipV="1">
          <a:off x="4552950" y="6256650"/>
          <a:ext cx="0" cy="468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29</xdr:row>
      <xdr:rowOff>0</xdr:rowOff>
    </xdr:from>
    <xdr:to>
      <xdr:col>19</xdr:col>
      <xdr:colOff>0</xdr:colOff>
      <xdr:row>33</xdr:row>
      <xdr:rowOff>0</xdr:rowOff>
    </xdr:to>
    <xdr:cxnSp macro="">
      <xdr:nvCxnSpPr>
        <xdr:cNvPr id="31" name="Straight Connector 30"/>
        <xdr:cNvCxnSpPr/>
      </xdr:nvCxnSpPr>
      <xdr:spPr>
        <a:xfrm>
          <a:off x="3028950" y="5581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29</xdr:row>
      <xdr:rowOff>0</xdr:rowOff>
    </xdr:from>
    <xdr:to>
      <xdr:col>16</xdr:col>
      <xdr:colOff>0</xdr:colOff>
      <xdr:row>33</xdr:row>
      <xdr:rowOff>0</xdr:rowOff>
    </xdr:to>
    <xdr:cxnSp macro="">
      <xdr:nvCxnSpPr>
        <xdr:cNvPr id="32" name="Straight Connector 31"/>
        <xdr:cNvCxnSpPr/>
      </xdr:nvCxnSpPr>
      <xdr:spPr>
        <a:xfrm flipH="1">
          <a:off x="1219200" y="5581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29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3" name="Right Triangle 32"/>
        <xdr:cNvSpPr/>
      </xdr:nvSpPr>
      <xdr:spPr>
        <a:xfrm>
          <a:off x="3028950" y="5581650"/>
          <a:ext cx="1219200" cy="762000"/>
        </a:xfrm>
        <a:prstGeom prst="rtTriangle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0</xdr:colOff>
      <xdr:row>29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34" name="Right Triangle 33"/>
        <xdr:cNvSpPr/>
      </xdr:nvSpPr>
      <xdr:spPr>
        <a:xfrm flipH="1">
          <a:off x="1219200" y="5581650"/>
          <a:ext cx="1219200" cy="762000"/>
        </a:xfrm>
        <a:prstGeom prst="rtTriangle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0</xdr:colOff>
      <xdr:row>29</xdr:row>
      <xdr:rowOff>0</xdr:rowOff>
    </xdr:from>
    <xdr:to>
      <xdr:col>16</xdr:col>
      <xdr:colOff>0</xdr:colOff>
      <xdr:row>33</xdr:row>
      <xdr:rowOff>0</xdr:rowOff>
    </xdr:to>
    <xdr:cxnSp macro="">
      <xdr:nvCxnSpPr>
        <xdr:cNvPr id="35" name="Straight Connector 34"/>
        <xdr:cNvCxnSpPr>
          <a:stCxn id="34" idx="4"/>
          <a:endCxn id="34" idx="0"/>
        </xdr:cNvCxnSpPr>
      </xdr:nvCxnSpPr>
      <xdr:spPr>
        <a:xfrm flipV="1">
          <a:off x="1219200" y="5581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29</xdr:row>
      <xdr:rowOff>0</xdr:rowOff>
    </xdr:from>
    <xdr:to>
      <xdr:col>19</xdr:col>
      <xdr:colOff>0</xdr:colOff>
      <xdr:row>33</xdr:row>
      <xdr:rowOff>0</xdr:rowOff>
    </xdr:to>
    <xdr:cxnSp macro="">
      <xdr:nvCxnSpPr>
        <xdr:cNvPr id="36" name="Straight Connector 35"/>
        <xdr:cNvCxnSpPr>
          <a:stCxn id="33" idx="0"/>
          <a:endCxn id="33" idx="4"/>
        </xdr:cNvCxnSpPr>
      </xdr:nvCxnSpPr>
      <xdr:spPr>
        <a:xfrm>
          <a:off x="3028950" y="5581650"/>
          <a:ext cx="12192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304800</xdr:colOff>
      <xdr:row>31</xdr:row>
      <xdr:rowOff>0</xdr:rowOff>
    </xdr:from>
    <xdr:to>
      <xdr:col>20</xdr:col>
      <xdr:colOff>304800</xdr:colOff>
      <xdr:row>33</xdr:row>
      <xdr:rowOff>0</xdr:rowOff>
    </xdr:to>
    <xdr:cxnSp macro="">
      <xdr:nvCxnSpPr>
        <xdr:cNvPr id="37" name="Straight Arrow Connector 36"/>
        <xdr:cNvCxnSpPr/>
      </xdr:nvCxnSpPr>
      <xdr:spPr>
        <a:xfrm>
          <a:off x="5162550" y="596265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304800</xdr:colOff>
      <xdr:row>34</xdr:row>
      <xdr:rowOff>180975</xdr:rowOff>
    </xdr:from>
    <xdr:to>
      <xdr:col>20</xdr:col>
      <xdr:colOff>304800</xdr:colOff>
      <xdr:row>36</xdr:row>
      <xdr:rowOff>180975</xdr:rowOff>
    </xdr:to>
    <xdr:cxnSp macro="">
      <xdr:nvCxnSpPr>
        <xdr:cNvPr id="38" name="Straight Arrow Connector 37"/>
        <xdr:cNvCxnSpPr/>
      </xdr:nvCxnSpPr>
      <xdr:spPr>
        <a:xfrm flipV="1">
          <a:off x="5162550" y="67151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tabSelected="1" workbookViewId="0">
      <selection activeCell="E3" sqref="E3"/>
    </sheetView>
  </sheetViews>
  <sheetFormatPr defaultRowHeight="15" x14ac:dyDescent="0.25"/>
  <cols>
    <col min="5" max="5" width="8.85546875" customWidth="1"/>
  </cols>
  <sheetData>
    <row r="1" spans="1:24" ht="20.25" thickBot="1" x14ac:dyDescent="0.35">
      <c r="A1" s="35"/>
      <c r="B1" s="35" t="s">
        <v>70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5.75" thickTop="1" x14ac:dyDescent="0.25">
      <c r="L2" s="34"/>
      <c r="X2" s="34"/>
    </row>
    <row r="3" spans="1:24" x14ac:dyDescent="0.25">
      <c r="D3" s="10" t="s">
        <v>0</v>
      </c>
      <c r="E3" s="39">
        <v>500</v>
      </c>
      <c r="F3" t="s">
        <v>2</v>
      </c>
      <c r="G3" t="s">
        <v>4</v>
      </c>
      <c r="L3" s="34"/>
      <c r="P3" s="10" t="s">
        <v>0</v>
      </c>
      <c r="Q3" s="39">
        <v>500</v>
      </c>
      <c r="R3" t="s">
        <v>2</v>
      </c>
      <c r="S3" t="s">
        <v>4</v>
      </c>
      <c r="X3" s="34"/>
    </row>
    <row r="4" spans="1:24" x14ac:dyDescent="0.25">
      <c r="D4" s="10" t="s">
        <v>1</v>
      </c>
      <c r="E4" s="39">
        <v>1500</v>
      </c>
      <c r="F4" t="s">
        <v>3</v>
      </c>
      <c r="G4" t="s">
        <v>5</v>
      </c>
      <c r="L4" s="34"/>
      <c r="P4" s="10" t="s">
        <v>1</v>
      </c>
      <c r="Q4" s="39">
        <v>1500</v>
      </c>
      <c r="R4" t="s">
        <v>3</v>
      </c>
      <c r="S4" t="s">
        <v>5</v>
      </c>
      <c r="X4" s="34"/>
    </row>
    <row r="5" spans="1:24" ht="17.25" x14ac:dyDescent="0.25">
      <c r="D5" s="10" t="s">
        <v>7</v>
      </c>
      <c r="E5" s="39">
        <v>225</v>
      </c>
      <c r="F5" t="s">
        <v>8</v>
      </c>
      <c r="L5" s="34"/>
      <c r="P5" s="10" t="s">
        <v>7</v>
      </c>
      <c r="Q5" s="39">
        <v>225</v>
      </c>
      <c r="R5" t="s">
        <v>8</v>
      </c>
      <c r="X5" s="34"/>
    </row>
    <row r="6" spans="1:24" x14ac:dyDescent="0.25">
      <c r="D6" s="21" t="s">
        <v>17</v>
      </c>
      <c r="E6" s="9">
        <v>1.5</v>
      </c>
      <c r="F6" s="9" t="s">
        <v>18</v>
      </c>
      <c r="G6" s="39"/>
      <c r="H6" s="9" t="s">
        <v>19</v>
      </c>
      <c r="I6" s="22">
        <f>IF(G6=0,E6,G6)</f>
        <v>1.5</v>
      </c>
      <c r="L6" s="34"/>
      <c r="P6" s="21" t="s">
        <v>17</v>
      </c>
      <c r="Q6" s="28">
        <v>1.5</v>
      </c>
      <c r="R6" s="28" t="s">
        <v>18</v>
      </c>
      <c r="S6" s="39"/>
      <c r="T6" s="28" t="s">
        <v>19</v>
      </c>
      <c r="U6" s="22">
        <f>IF(S6=0,Q6,S6)</f>
        <v>1.5</v>
      </c>
      <c r="X6" s="34"/>
    </row>
    <row r="7" spans="1:24" x14ac:dyDescent="0.25">
      <c r="D7" s="21" t="s">
        <v>24</v>
      </c>
      <c r="E7" s="9">
        <v>60</v>
      </c>
      <c r="F7" s="9" t="s">
        <v>18</v>
      </c>
      <c r="G7" s="39"/>
      <c r="H7" s="9" t="s">
        <v>19</v>
      </c>
      <c r="I7" s="23">
        <f>IF(G7=0,E7,G7)</f>
        <v>60</v>
      </c>
      <c r="L7" s="34"/>
      <c r="P7" s="21" t="s">
        <v>24</v>
      </c>
      <c r="Q7" s="28">
        <v>60</v>
      </c>
      <c r="R7" s="28" t="s">
        <v>18</v>
      </c>
      <c r="S7" s="39"/>
      <c r="T7" s="28" t="s">
        <v>19</v>
      </c>
      <c r="U7" s="23">
        <f>IF(S7=0,Q7,S7)</f>
        <v>60</v>
      </c>
      <c r="X7" s="34"/>
    </row>
    <row r="8" spans="1:24" x14ac:dyDescent="0.25">
      <c r="D8" s="21" t="s">
        <v>28</v>
      </c>
      <c r="E8" s="9">
        <v>30</v>
      </c>
      <c r="F8" s="9" t="s">
        <v>18</v>
      </c>
      <c r="G8" s="39"/>
      <c r="H8" s="9" t="s">
        <v>19</v>
      </c>
      <c r="I8" s="24">
        <f>IF(G8=0,E8,G8)/100</f>
        <v>0.3</v>
      </c>
      <c r="L8" s="34"/>
      <c r="P8" s="21" t="s">
        <v>28</v>
      </c>
      <c r="Q8" s="28">
        <v>30</v>
      </c>
      <c r="R8" s="28" t="s">
        <v>18</v>
      </c>
      <c r="S8" s="39"/>
      <c r="T8" s="28" t="s">
        <v>19</v>
      </c>
      <c r="U8" s="24">
        <f>IF(S8=0,Q8,S8)/100</f>
        <v>0.3</v>
      </c>
      <c r="X8" s="34"/>
    </row>
    <row r="9" spans="1:24" x14ac:dyDescent="0.25">
      <c r="D9" s="21" t="s">
        <v>25</v>
      </c>
      <c r="E9" s="39">
        <v>12</v>
      </c>
      <c r="F9" t="s">
        <v>2</v>
      </c>
      <c r="G9" t="s">
        <v>26</v>
      </c>
      <c r="L9" s="34"/>
      <c r="P9" s="21" t="s">
        <v>25</v>
      </c>
      <c r="Q9" s="39">
        <v>12</v>
      </c>
      <c r="R9" t="s">
        <v>2</v>
      </c>
      <c r="S9" t="s">
        <v>26</v>
      </c>
      <c r="X9" s="34"/>
    </row>
    <row r="10" spans="1:24" x14ac:dyDescent="0.25">
      <c r="D10" s="21" t="s">
        <v>37</v>
      </c>
      <c r="E10" s="40">
        <v>415</v>
      </c>
      <c r="L10" s="34"/>
      <c r="P10" s="21" t="s">
        <v>37</v>
      </c>
      <c r="Q10" s="40">
        <v>415</v>
      </c>
      <c r="X10" s="34"/>
    </row>
    <row r="11" spans="1:24" x14ac:dyDescent="0.25">
      <c r="D11" s="21" t="s">
        <v>23</v>
      </c>
      <c r="E11" s="41">
        <v>20</v>
      </c>
      <c r="L11" s="34"/>
      <c r="P11" s="21" t="s">
        <v>23</v>
      </c>
      <c r="Q11" s="41">
        <v>20</v>
      </c>
      <c r="X11" s="34"/>
    </row>
    <row r="12" spans="1:24" ht="17.25" x14ac:dyDescent="0.25">
      <c r="D12" s="21" t="str">
        <f>"Design Punching shear of M"&amp;E11&amp;" concrete"</f>
        <v>Design Punching shear of M20 concrete</v>
      </c>
      <c r="E12" s="42">
        <v>1.8</v>
      </c>
      <c r="F12" t="s">
        <v>34</v>
      </c>
      <c r="L12" s="34"/>
      <c r="P12" s="21" t="str">
        <f>"Design Punching shear of M"&amp;Q11&amp;" concrete"</f>
        <v>Design Punching shear of M20 concrete</v>
      </c>
      <c r="Q12" s="42">
        <v>1.8</v>
      </c>
      <c r="R12" t="s">
        <v>34</v>
      </c>
      <c r="X12" s="34"/>
    </row>
    <row r="13" spans="1:24" x14ac:dyDescent="0.25">
      <c r="D13" s="21" t="s">
        <v>28</v>
      </c>
      <c r="E13" s="9">
        <v>30</v>
      </c>
      <c r="F13" s="9" t="s">
        <v>18</v>
      </c>
      <c r="G13" s="39"/>
      <c r="H13" s="9" t="s">
        <v>19</v>
      </c>
      <c r="I13" s="24">
        <f>IF(G13=0,E13,G13)/100</f>
        <v>0.3</v>
      </c>
      <c r="L13" s="34"/>
      <c r="P13" s="21" t="s">
        <v>28</v>
      </c>
      <c r="Q13" s="28">
        <v>30</v>
      </c>
      <c r="R13" s="28" t="s">
        <v>18</v>
      </c>
      <c r="S13" s="39"/>
      <c r="T13" s="28" t="s">
        <v>19</v>
      </c>
      <c r="U13" s="24">
        <f>IF(S13=0,Q13,S13)/100</f>
        <v>0.3</v>
      </c>
      <c r="X13" s="34"/>
    </row>
    <row r="14" spans="1:24" x14ac:dyDescent="0.25">
      <c r="L14" s="34"/>
      <c r="X14" s="34"/>
    </row>
    <row r="15" spans="1:24" ht="20.25" thickBot="1" x14ac:dyDescent="0.35">
      <c r="A15" s="35"/>
      <c r="B15" s="35" t="s">
        <v>71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5.75" thickTop="1" x14ac:dyDescent="0.25">
      <c r="E16" s="25">
        <f>E4</f>
        <v>1500</v>
      </c>
      <c r="L16" s="34"/>
      <c r="Q16" s="25">
        <f>Q4</f>
        <v>1500</v>
      </c>
      <c r="X16" s="34"/>
    </row>
    <row r="17" spans="3:24" x14ac:dyDescent="0.25">
      <c r="L17" s="34"/>
      <c r="X17" s="34"/>
    </row>
    <row r="18" spans="3:24" x14ac:dyDescent="0.25">
      <c r="L18" s="34"/>
      <c r="X18" s="34"/>
    </row>
    <row r="19" spans="3:24" x14ac:dyDescent="0.25">
      <c r="L19" s="34"/>
      <c r="X19" s="34"/>
    </row>
    <row r="20" spans="3:24" x14ac:dyDescent="0.25">
      <c r="E20" s="18"/>
      <c r="L20" s="34"/>
      <c r="Q20" s="18"/>
      <c r="X20" s="34"/>
    </row>
    <row r="21" spans="3:24" x14ac:dyDescent="0.25">
      <c r="E21" s="19"/>
      <c r="L21" s="34"/>
      <c r="Q21" s="19"/>
      <c r="X21" s="34"/>
    </row>
    <row r="22" spans="3:24" x14ac:dyDescent="0.25">
      <c r="E22" s="49">
        <f>E3</f>
        <v>500</v>
      </c>
      <c r="L22" s="34"/>
      <c r="Q22" s="49">
        <f>Q3</f>
        <v>500</v>
      </c>
      <c r="X22" s="34"/>
    </row>
    <row r="23" spans="3:24" x14ac:dyDescent="0.25">
      <c r="E23" s="49"/>
      <c r="L23" s="34"/>
      <c r="Q23" s="49"/>
      <c r="X23" s="34"/>
    </row>
    <row r="24" spans="3:24" x14ac:dyDescent="0.25">
      <c r="E24" s="19"/>
      <c r="L24" s="34"/>
      <c r="Q24" s="19"/>
      <c r="X24" s="34"/>
    </row>
    <row r="25" spans="3:24" x14ac:dyDescent="0.25">
      <c r="E25" s="19"/>
      <c r="L25" s="34"/>
      <c r="Q25" s="19"/>
      <c r="X25" s="34"/>
    </row>
    <row r="26" spans="3:24" x14ac:dyDescent="0.25">
      <c r="E26" s="19"/>
      <c r="L26" s="34"/>
      <c r="Q26" s="19"/>
      <c r="X26" s="34"/>
    </row>
    <row r="27" spans="3:24" x14ac:dyDescent="0.25">
      <c r="E27" s="19"/>
      <c r="L27" s="34"/>
      <c r="Q27" s="19"/>
      <c r="X27" s="34"/>
    </row>
    <row r="28" spans="3:24" x14ac:dyDescent="0.25">
      <c r="E28" s="19"/>
      <c r="L28" s="34"/>
      <c r="Q28" s="19"/>
      <c r="X28" s="34"/>
    </row>
    <row r="29" spans="3:24" x14ac:dyDescent="0.25">
      <c r="E29" s="19"/>
      <c r="F29" s="7"/>
      <c r="G29" s="8"/>
      <c r="L29" s="34"/>
      <c r="Q29" s="19"/>
      <c r="R29" s="7"/>
      <c r="S29" s="8"/>
      <c r="X29" s="34"/>
    </row>
    <row r="30" spans="3:24" x14ac:dyDescent="0.25">
      <c r="C30" s="27"/>
      <c r="D30" s="27"/>
      <c r="E30" s="11"/>
      <c r="F30" s="27"/>
      <c r="G30" s="27"/>
      <c r="H30" s="2"/>
      <c r="L30" s="34"/>
      <c r="O30" s="27"/>
      <c r="P30" s="27"/>
      <c r="Q30" s="11"/>
      <c r="R30" s="27"/>
      <c r="S30" s="27"/>
      <c r="T30" s="2"/>
      <c r="X30" s="34"/>
    </row>
    <row r="31" spans="3:24" x14ac:dyDescent="0.25">
      <c r="C31" s="27"/>
      <c r="D31" s="27"/>
      <c r="E31" s="13"/>
      <c r="F31" s="27"/>
      <c r="G31" s="27"/>
      <c r="H31" s="5"/>
      <c r="L31" s="34"/>
      <c r="O31" s="27"/>
      <c r="P31" s="27"/>
      <c r="Q31" s="13"/>
      <c r="R31" s="27"/>
      <c r="S31" s="27"/>
      <c r="T31" s="5"/>
      <c r="X31" s="34"/>
    </row>
    <row r="32" spans="3:24" x14ac:dyDescent="0.25">
      <c r="C32" s="27"/>
      <c r="D32" s="13"/>
      <c r="E32" s="13"/>
      <c r="F32" s="13"/>
      <c r="G32" s="27"/>
      <c r="H32" s="45">
        <f>I60</f>
        <v>900</v>
      </c>
      <c r="L32" s="34"/>
      <c r="O32" s="27"/>
      <c r="P32" s="13"/>
      <c r="Q32" s="13"/>
      <c r="R32" s="13"/>
      <c r="S32" s="27"/>
      <c r="T32" s="45">
        <f>U60</f>
        <v>1290</v>
      </c>
      <c r="X32" s="34"/>
    </row>
    <row r="33" spans="1:24" x14ac:dyDescent="0.25">
      <c r="C33" s="27"/>
      <c r="D33" s="13"/>
      <c r="E33" s="13"/>
      <c r="F33" s="13"/>
      <c r="G33" s="27"/>
      <c r="H33" s="45"/>
      <c r="L33" s="34"/>
      <c r="O33" s="27"/>
      <c r="P33" s="13"/>
      <c r="Q33" s="13"/>
      <c r="R33" s="13"/>
      <c r="S33" s="27"/>
      <c r="T33" s="45"/>
      <c r="X33" s="34"/>
    </row>
    <row r="34" spans="1:24" x14ac:dyDescent="0.25">
      <c r="C34" s="12"/>
      <c r="D34" s="13"/>
      <c r="E34" s="13"/>
      <c r="F34" s="13"/>
      <c r="G34" s="14"/>
      <c r="H34" s="26"/>
      <c r="I34" s="43">
        <f>I63</f>
        <v>300</v>
      </c>
      <c r="L34" s="34"/>
      <c r="O34" s="12"/>
      <c r="P34" s="13"/>
      <c r="Q34" s="13"/>
      <c r="R34" s="13"/>
      <c r="S34" s="14"/>
      <c r="T34" s="26"/>
      <c r="U34" s="43">
        <f>U63</f>
        <v>430</v>
      </c>
      <c r="X34" s="34"/>
    </row>
    <row r="35" spans="1:24" x14ac:dyDescent="0.25">
      <c r="C35" s="15"/>
      <c r="D35" s="16"/>
      <c r="E35" s="16"/>
      <c r="F35" s="16"/>
      <c r="G35" s="17"/>
      <c r="H35" s="7"/>
      <c r="I35" s="44"/>
      <c r="L35" s="34"/>
      <c r="O35" s="15"/>
      <c r="P35" s="16"/>
      <c r="Q35" s="16"/>
      <c r="R35" s="16"/>
      <c r="S35" s="17"/>
      <c r="T35" s="7"/>
      <c r="U35" s="44"/>
      <c r="X35" s="34"/>
    </row>
    <row r="36" spans="1:24" x14ac:dyDescent="0.25">
      <c r="C36" s="1"/>
      <c r="E36" s="43">
        <f>E41</f>
        <v>2750</v>
      </c>
      <c r="G36" s="3"/>
      <c r="L36" s="34"/>
      <c r="O36" s="1"/>
      <c r="Q36" s="43">
        <f>Q41</f>
        <v>2750</v>
      </c>
      <c r="S36" s="3"/>
      <c r="X36" s="34"/>
    </row>
    <row r="37" spans="1:24" x14ac:dyDescent="0.25">
      <c r="C37" s="4"/>
      <c r="E37" s="45"/>
      <c r="G37" s="6"/>
      <c r="L37" s="34"/>
      <c r="O37" s="4"/>
      <c r="Q37" s="45"/>
      <c r="S37" s="6"/>
      <c r="X37" s="34"/>
    </row>
    <row r="38" spans="1:24" x14ac:dyDescent="0.25">
      <c r="L38" s="34"/>
      <c r="X38" s="34"/>
    </row>
    <row r="39" spans="1:24" x14ac:dyDescent="0.25">
      <c r="L39" s="34"/>
      <c r="X39" s="34"/>
    </row>
    <row r="40" spans="1:24" x14ac:dyDescent="0.25">
      <c r="D40" s="10" t="s">
        <v>6</v>
      </c>
      <c r="E40">
        <f>1.1*E4</f>
        <v>1650.0000000000002</v>
      </c>
      <c r="F40" t="s">
        <v>3</v>
      </c>
      <c r="L40" s="34"/>
      <c r="P40" s="10" t="s">
        <v>6</v>
      </c>
      <c r="Q40">
        <f>1.1*Q4</f>
        <v>1650.0000000000002</v>
      </c>
      <c r="R40" t="s">
        <v>3</v>
      </c>
      <c r="X40" s="34"/>
    </row>
    <row r="41" spans="1:24" x14ac:dyDescent="0.25">
      <c r="D41" s="10" t="s">
        <v>9</v>
      </c>
      <c r="E41">
        <f>CEILING((ROUND((SQRT(E40/E5)),2)*1000),50)</f>
        <v>2750</v>
      </c>
      <c r="F41" t="s">
        <v>2</v>
      </c>
      <c r="G41" t="s">
        <v>10</v>
      </c>
      <c r="L41" s="34"/>
      <c r="P41" s="10" t="s">
        <v>9</v>
      </c>
      <c r="Q41">
        <f>CEILING((ROUND((SQRT(Q40/Q5)),2)*1000),50)</f>
        <v>2750</v>
      </c>
      <c r="R41" t="s">
        <v>2</v>
      </c>
      <c r="S41" t="s">
        <v>10</v>
      </c>
      <c r="X41" s="34"/>
    </row>
    <row r="42" spans="1:24" ht="17.25" x14ac:dyDescent="0.25">
      <c r="D42" s="10" t="s">
        <v>11</v>
      </c>
      <c r="E42">
        <f>(E4*1000*1000)/(E41*E41)</f>
        <v>198.34710743801654</v>
      </c>
      <c r="F42" t="s">
        <v>8</v>
      </c>
      <c r="L42" s="34"/>
      <c r="P42" s="10" t="s">
        <v>11</v>
      </c>
      <c r="Q42">
        <f>(Q4*1000*1000)/(Q41*Q41)</f>
        <v>198.34710743801654</v>
      </c>
      <c r="R42" t="s">
        <v>8</v>
      </c>
      <c r="X42" s="34"/>
    </row>
    <row r="43" spans="1:24" x14ac:dyDescent="0.25">
      <c r="L43" s="34"/>
      <c r="X43" s="34"/>
    </row>
    <row r="44" spans="1:24" x14ac:dyDescent="0.25">
      <c r="L44" s="34"/>
      <c r="X44" s="34"/>
    </row>
    <row r="45" spans="1:24" ht="20.25" thickBot="1" x14ac:dyDescent="0.35">
      <c r="A45" s="35"/>
      <c r="B45" s="35" t="s">
        <v>12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6.5" thickTop="1" thickBot="1" x14ac:dyDescent="0.3">
      <c r="A46" s="37"/>
      <c r="B46" s="37"/>
      <c r="C46" s="46" t="s">
        <v>30</v>
      </c>
      <c r="D46" s="46"/>
      <c r="E46" s="46"/>
      <c r="F46" s="46"/>
      <c r="G46" s="37"/>
      <c r="H46" s="37"/>
      <c r="I46" s="37"/>
      <c r="J46" s="37"/>
      <c r="K46" s="37"/>
      <c r="L46" s="37"/>
      <c r="M46" s="37"/>
      <c r="N46" s="37"/>
      <c r="O46" s="46"/>
      <c r="P46" s="46"/>
      <c r="Q46" s="46"/>
      <c r="R46" s="46"/>
      <c r="S46" s="37"/>
      <c r="T46" s="37"/>
      <c r="U46" s="37"/>
      <c r="V46" s="37"/>
      <c r="W46" s="37"/>
      <c r="X46" s="37"/>
    </row>
    <row r="47" spans="1:24" x14ac:dyDescent="0.25">
      <c r="C47" s="9"/>
      <c r="D47" s="9"/>
      <c r="E47" s="9"/>
      <c r="F47" s="9"/>
      <c r="L47" s="34"/>
      <c r="O47" s="28"/>
      <c r="P47" s="28"/>
      <c r="Q47" s="28"/>
      <c r="R47" s="28"/>
      <c r="X47" s="34"/>
    </row>
    <row r="48" spans="1:24" x14ac:dyDescent="0.25">
      <c r="D48" s="10" t="s">
        <v>13</v>
      </c>
      <c r="E48">
        <f>(E41-E3)/2</f>
        <v>1125</v>
      </c>
      <c r="F48" t="s">
        <v>2</v>
      </c>
      <c r="L48" s="34"/>
      <c r="P48" s="10" t="s">
        <v>13</v>
      </c>
      <c r="Q48">
        <f>(Q41-Q3)/2</f>
        <v>1125</v>
      </c>
      <c r="R48" t="s">
        <v>2</v>
      </c>
      <c r="X48" s="34"/>
    </row>
    <row r="49" spans="1:24" x14ac:dyDescent="0.25">
      <c r="D49" s="10" t="s">
        <v>14</v>
      </c>
      <c r="E49">
        <f>E42*E41*E48*E48/2000000000</f>
        <v>345.17045454545462</v>
      </c>
      <c r="F49" t="s">
        <v>15</v>
      </c>
      <c r="G49" t="s">
        <v>20</v>
      </c>
      <c r="L49" s="34"/>
      <c r="P49" s="10" t="s">
        <v>14</v>
      </c>
      <c r="Q49">
        <f>Q42*Q41*Q48*Q48/2000000000</f>
        <v>345.17045454545462</v>
      </c>
      <c r="R49" t="s">
        <v>15</v>
      </c>
      <c r="S49" t="s">
        <v>20</v>
      </c>
      <c r="X49" s="34"/>
    </row>
    <row r="50" spans="1:24" ht="18" x14ac:dyDescent="0.35">
      <c r="D50" s="10" t="s">
        <v>16</v>
      </c>
      <c r="E50">
        <f>E49*I6</f>
        <v>517.75568181818198</v>
      </c>
      <c r="F50" t="s">
        <v>15</v>
      </c>
      <c r="G50" t="s">
        <v>21</v>
      </c>
      <c r="L50" s="34"/>
      <c r="P50" s="10" t="s">
        <v>16</v>
      </c>
      <c r="Q50">
        <f>Q49*U6</f>
        <v>517.75568181818198</v>
      </c>
      <c r="R50" t="s">
        <v>15</v>
      </c>
      <c r="S50" t="s">
        <v>21</v>
      </c>
      <c r="X50" s="34"/>
    </row>
    <row r="51" spans="1:24" x14ac:dyDescent="0.25">
      <c r="D51" s="10" t="s">
        <v>22</v>
      </c>
      <c r="E51">
        <f>ROUND(SQRT(E50/(0.137*E11*E3))*1000,0)</f>
        <v>615</v>
      </c>
      <c r="F51" t="s">
        <v>2</v>
      </c>
      <c r="L51" s="34"/>
      <c r="P51" s="10" t="s">
        <v>22</v>
      </c>
      <c r="Q51">
        <f>ROUND(SQRT(Q50/(0.137*Q11*Q3))*1000,0)</f>
        <v>615</v>
      </c>
      <c r="R51" t="s">
        <v>2</v>
      </c>
      <c r="X51" s="34"/>
    </row>
    <row r="52" spans="1:24" x14ac:dyDescent="0.25">
      <c r="D52" s="10" t="s">
        <v>27</v>
      </c>
      <c r="E52">
        <f>ROUND((1.3*(E51+I7+(1.5*E9))),-1)</f>
        <v>900</v>
      </c>
      <c r="F52" t="s">
        <v>2</v>
      </c>
      <c r="L52" s="34"/>
      <c r="P52" s="10" t="s">
        <v>27</v>
      </c>
      <c r="Q52">
        <f>ROUND((1.3*(Q51+U7+(1.5*Q9))),-1)</f>
        <v>900</v>
      </c>
      <c r="R52" t="s">
        <v>2</v>
      </c>
      <c r="X52" s="34"/>
    </row>
    <row r="53" spans="1:24" x14ac:dyDescent="0.25">
      <c r="D53" s="10" t="s">
        <v>29</v>
      </c>
      <c r="E53">
        <f>E52-(I7+(1.5*E9))</f>
        <v>822</v>
      </c>
      <c r="F53" t="s">
        <v>2</v>
      </c>
      <c r="L53" s="34"/>
      <c r="P53" s="10" t="s">
        <v>29</v>
      </c>
      <c r="Q53">
        <f>Q52-(U7+(1.5*Q9))</f>
        <v>822</v>
      </c>
      <c r="R53" t="s">
        <v>2</v>
      </c>
      <c r="X53" s="34"/>
    </row>
    <row r="54" spans="1:24" x14ac:dyDescent="0.25">
      <c r="L54" s="34"/>
      <c r="X54" s="34"/>
    </row>
    <row r="55" spans="1:24" ht="18" thickBot="1" x14ac:dyDescent="0.35">
      <c r="A55" s="36"/>
      <c r="B55" s="36"/>
      <c r="C55" s="47" t="s">
        <v>31</v>
      </c>
      <c r="D55" s="47"/>
      <c r="E55" s="47"/>
      <c r="F55" s="47"/>
      <c r="G55" s="36"/>
      <c r="H55" s="36"/>
      <c r="I55" s="36"/>
      <c r="J55" s="36"/>
      <c r="K55" s="36"/>
      <c r="L55" s="36"/>
      <c r="M55" s="36"/>
      <c r="N55" s="36"/>
      <c r="O55" s="47"/>
      <c r="P55" s="47"/>
      <c r="Q55" s="47"/>
      <c r="R55" s="47"/>
      <c r="S55" s="36"/>
      <c r="T55" s="36"/>
      <c r="U55" s="36"/>
      <c r="V55" s="36"/>
      <c r="W55" s="36"/>
      <c r="X55" s="36"/>
    </row>
    <row r="56" spans="1:24" ht="15.75" thickTop="1" x14ac:dyDescent="0.25">
      <c r="D56" s="10" t="s">
        <v>32</v>
      </c>
      <c r="E56">
        <f>((E4*1000)-(E42*E3*E3/1000))/1000</f>
        <v>1450.4132231404958</v>
      </c>
      <c r="F56" t="s">
        <v>3</v>
      </c>
      <c r="L56" s="34"/>
      <c r="P56" s="10" t="s">
        <v>32</v>
      </c>
      <c r="Q56">
        <f>((Q4*1000)-(Q42*Q3*Q3/1000))/1000</f>
        <v>1450.4132231404958</v>
      </c>
      <c r="R56" t="s">
        <v>3</v>
      </c>
      <c r="X56" s="34"/>
    </row>
    <row r="57" spans="1:24" x14ac:dyDescent="0.25">
      <c r="D57" s="10" t="s">
        <v>33</v>
      </c>
      <c r="E57">
        <f>1.5*E56</f>
        <v>2175.6198347107438</v>
      </c>
      <c r="F57" t="s">
        <v>3</v>
      </c>
      <c r="L57" s="34"/>
      <c r="P57" s="10" t="s">
        <v>33</v>
      </c>
      <c r="Q57">
        <f>1.5*Q56</f>
        <v>2175.6198347107438</v>
      </c>
      <c r="R57" t="s">
        <v>3</v>
      </c>
      <c r="X57" s="34"/>
    </row>
    <row r="58" spans="1:24" x14ac:dyDescent="0.25">
      <c r="D58" s="10" t="s">
        <v>27</v>
      </c>
      <c r="E58">
        <f>ROUND(E57*1000/(4*E3*E12),0)</f>
        <v>604</v>
      </c>
      <c r="F58" t="s">
        <v>2</v>
      </c>
      <c r="L58" s="34"/>
      <c r="P58" s="10" t="s">
        <v>27</v>
      </c>
      <c r="Q58">
        <f>ROUND(Q57*1000/(4*Q3*Q12),0)</f>
        <v>604</v>
      </c>
      <c r="R58" t="s">
        <v>2</v>
      </c>
      <c r="X58" s="34"/>
    </row>
    <row r="59" spans="1:24" x14ac:dyDescent="0.25">
      <c r="L59" s="34"/>
      <c r="X59" s="34"/>
    </row>
    <row r="60" spans="1:24" x14ac:dyDescent="0.25">
      <c r="D60" s="21" t="s">
        <v>35</v>
      </c>
      <c r="E60" s="9">
        <f>MAX(E58,E52)</f>
        <v>900</v>
      </c>
      <c r="F60" s="9" t="s">
        <v>18</v>
      </c>
      <c r="G60" s="39"/>
      <c r="H60" s="9" t="s">
        <v>19</v>
      </c>
      <c r="I60" s="23">
        <f>IF(G60=0,E60,G60)</f>
        <v>900</v>
      </c>
      <c r="L60" s="34"/>
      <c r="P60" s="21" t="s">
        <v>35</v>
      </c>
      <c r="Q60" s="28">
        <f>MAX(Q58,Q52)</f>
        <v>900</v>
      </c>
      <c r="R60" s="28" t="s">
        <v>18</v>
      </c>
      <c r="S60" s="39">
        <v>1290</v>
      </c>
      <c r="T60" s="28" t="s">
        <v>19</v>
      </c>
      <c r="U60" s="23">
        <f>IF(S60=0,Q60,S60)</f>
        <v>1290</v>
      </c>
      <c r="X60" s="34"/>
    </row>
    <row r="61" spans="1:24" x14ac:dyDescent="0.25">
      <c r="D61" s="21" t="s">
        <v>36</v>
      </c>
      <c r="E61">
        <f>I60-(I7+(1.5*E9))</f>
        <v>822</v>
      </c>
      <c r="F61" t="s">
        <v>2</v>
      </c>
      <c r="L61" s="34"/>
      <c r="P61" s="21" t="s">
        <v>36</v>
      </c>
      <c r="Q61">
        <f>U60-(U7+(1.5*Q9))</f>
        <v>1212</v>
      </c>
      <c r="R61" t="s">
        <v>2</v>
      </c>
      <c r="X61" s="34"/>
    </row>
    <row r="62" spans="1:24" x14ac:dyDescent="0.25">
      <c r="L62" s="34"/>
      <c r="X62" s="34"/>
    </row>
    <row r="63" spans="1:24" x14ac:dyDescent="0.25">
      <c r="D63" s="21" t="s">
        <v>46</v>
      </c>
      <c r="E63">
        <f>I60/3</f>
        <v>300</v>
      </c>
      <c r="F63" s="9" t="s">
        <v>18</v>
      </c>
      <c r="G63" s="39"/>
      <c r="H63" s="9" t="s">
        <v>19</v>
      </c>
      <c r="I63" s="23">
        <f>IF(G63=0,E63,G63)</f>
        <v>300</v>
      </c>
      <c r="L63" s="34"/>
      <c r="P63" s="21" t="s">
        <v>46</v>
      </c>
      <c r="Q63">
        <f>U60/3</f>
        <v>430</v>
      </c>
      <c r="R63" s="28" t="s">
        <v>18</v>
      </c>
      <c r="S63" s="39"/>
      <c r="T63" s="28" t="s">
        <v>19</v>
      </c>
      <c r="U63" s="23">
        <f>IF(S63=0,Q63,S63)</f>
        <v>430</v>
      </c>
      <c r="X63" s="34"/>
    </row>
    <row r="64" spans="1:24" x14ac:dyDescent="0.25">
      <c r="L64" s="34"/>
      <c r="X64" s="34"/>
    </row>
    <row r="65" spans="1:24" x14ac:dyDescent="0.25">
      <c r="C65" s="20"/>
      <c r="L65" s="34"/>
      <c r="O65" s="20"/>
      <c r="X65" s="34"/>
    </row>
    <row r="66" spans="1:24" ht="20.25" thickBot="1" x14ac:dyDescent="0.35">
      <c r="A66" s="35"/>
      <c r="B66" s="35" t="s">
        <v>38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ht="19.5" thickTop="1" x14ac:dyDescent="0.35">
      <c r="D67" t="s">
        <v>39</v>
      </c>
      <c r="E67">
        <f>E50*1000*1000/(E3*E61*E61)</f>
        <v>1.532537937314431</v>
      </c>
      <c r="L67" s="34"/>
      <c r="P67" t="s">
        <v>39</v>
      </c>
      <c r="Q67">
        <f>Q50*1000*1000/(Q3*Q61*Q61)</f>
        <v>0.70493590200604239</v>
      </c>
      <c r="X67" s="34"/>
    </row>
    <row r="68" spans="1:24" x14ac:dyDescent="0.25">
      <c r="D68" s="10" t="s">
        <v>40</v>
      </c>
      <c r="E68">
        <f>50*((1-SQRT(1-(4.6*E67/E11)))/(E10/E11))</f>
        <v>0.47064106183344828</v>
      </c>
      <c r="F68" t="s">
        <v>41</v>
      </c>
      <c r="L68" s="34"/>
      <c r="P68" s="10" t="s">
        <v>40</v>
      </c>
      <c r="Q68">
        <f>50*((1-SQRT(1-(4.6*Q67/Q11)))/(Q10/Q11))</f>
        <v>0.2039770618541735</v>
      </c>
      <c r="R68" t="s">
        <v>41</v>
      </c>
      <c r="X68" s="34"/>
    </row>
    <row r="69" spans="1:24" ht="17.25" x14ac:dyDescent="0.25">
      <c r="D69" s="10" t="s">
        <v>42</v>
      </c>
      <c r="E69">
        <f>E68*E3*E61/100</f>
        <v>1934.3347641354726</v>
      </c>
      <c r="F69" t="s">
        <v>43</v>
      </c>
      <c r="L69" s="34"/>
      <c r="P69" s="10" t="s">
        <v>42</v>
      </c>
      <c r="Q69">
        <f>Q68*Q3*Q61/100</f>
        <v>1236.1009948362914</v>
      </c>
      <c r="R69" t="s">
        <v>43</v>
      </c>
      <c r="X69" s="34"/>
    </row>
    <row r="70" spans="1:24" x14ac:dyDescent="0.25">
      <c r="D70" s="10" t="str">
        <f>"No. of bars of "&amp;E9&amp;"mm dia"</f>
        <v>No. of bars of 12mm dia</v>
      </c>
      <c r="E70">
        <f>CEILING(E69/(PI()*(E9*E9/4)),1)</f>
        <v>18</v>
      </c>
      <c r="F70" t="s">
        <v>44</v>
      </c>
      <c r="G70" s="22" t="s">
        <v>45</v>
      </c>
      <c r="L70" s="34"/>
      <c r="P70" s="10" t="str">
        <f>"No. of bars of "&amp;Q9&amp;"mm dia"</f>
        <v>No. of bars of 12mm dia</v>
      </c>
      <c r="Q70">
        <f>CEILING(Q69/(PI()*(Q9*Q9/4)),1)</f>
        <v>11</v>
      </c>
      <c r="R70" t="s">
        <v>44</v>
      </c>
      <c r="S70" s="22" t="s">
        <v>45</v>
      </c>
      <c r="X70" s="34"/>
    </row>
    <row r="71" spans="1:24" x14ac:dyDescent="0.25">
      <c r="L71" s="34"/>
      <c r="X71" s="34"/>
    </row>
    <row r="72" spans="1:24" x14ac:dyDescent="0.25">
      <c r="L72" s="34"/>
      <c r="X72" s="34"/>
    </row>
    <row r="73" spans="1:24" ht="20.25" thickBot="1" x14ac:dyDescent="0.35">
      <c r="A73" s="35"/>
      <c r="B73" s="35" t="s">
        <v>64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ht="15.75" thickTop="1" x14ac:dyDescent="0.25">
      <c r="L74" s="34"/>
      <c r="X74" s="34"/>
    </row>
    <row r="75" spans="1:24" ht="15.75" thickBot="1" x14ac:dyDescent="0.3">
      <c r="A75" s="37"/>
      <c r="B75" s="37"/>
      <c r="C75" s="37" t="s">
        <v>47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x14ac:dyDescent="0.25">
      <c r="L76" s="34"/>
      <c r="X76" s="34"/>
    </row>
    <row r="77" spans="1:24" x14ac:dyDescent="0.25">
      <c r="D77" s="10" t="s">
        <v>48</v>
      </c>
      <c r="E77">
        <f>E61</f>
        <v>822</v>
      </c>
      <c r="F77" t="s">
        <v>2</v>
      </c>
      <c r="L77" s="34"/>
      <c r="P77" s="10" t="s">
        <v>48</v>
      </c>
      <c r="Q77">
        <f>Q61</f>
        <v>1212</v>
      </c>
      <c r="R77" t="s">
        <v>2</v>
      </c>
      <c r="X77" s="34"/>
    </row>
    <row r="78" spans="1:24" x14ac:dyDescent="0.25">
      <c r="D78" s="10" t="s">
        <v>52</v>
      </c>
      <c r="E78">
        <f>I60-((I60-I63)/((E41-E3)/2))*E61</f>
        <v>461.6</v>
      </c>
      <c r="F78" t="s">
        <v>2</v>
      </c>
      <c r="G78" t="s">
        <v>51</v>
      </c>
      <c r="L78" s="34"/>
      <c r="P78" s="10" t="s">
        <v>52</v>
      </c>
      <c r="Q78">
        <f>U60-((U60-U63)/((Q41-Q3)/2))*Q61</f>
        <v>363.49333333333334</v>
      </c>
      <c r="R78" t="s">
        <v>2</v>
      </c>
      <c r="S78" t="s">
        <v>51</v>
      </c>
      <c r="X78" s="34"/>
    </row>
    <row r="79" spans="1:24" x14ac:dyDescent="0.25">
      <c r="D79" s="10" t="s">
        <v>49</v>
      </c>
      <c r="E79">
        <f>E78-(I7+(1.5*E9))</f>
        <v>383.6</v>
      </c>
      <c r="F79" t="s">
        <v>2</v>
      </c>
      <c r="G79" t="s">
        <v>50</v>
      </c>
      <c r="L79" s="34"/>
      <c r="P79" s="10" t="s">
        <v>49</v>
      </c>
      <c r="Q79">
        <f>Q78-(U7+(1.5*Q9))</f>
        <v>285.49333333333334</v>
      </c>
      <c r="R79" t="s">
        <v>2</v>
      </c>
      <c r="S79" t="s">
        <v>50</v>
      </c>
      <c r="X79" s="34"/>
    </row>
    <row r="80" spans="1:24" x14ac:dyDescent="0.25">
      <c r="D80" s="10" t="s">
        <v>53</v>
      </c>
      <c r="E80">
        <f>E42*E41*E79/1000000</f>
        <v>209.23636363636368</v>
      </c>
      <c r="F80" t="s">
        <v>3</v>
      </c>
      <c r="L80" s="34"/>
      <c r="P80" s="10" t="s">
        <v>53</v>
      </c>
      <c r="Q80">
        <f>Q42*Q41*Q79/1000000</f>
        <v>155.72363636363639</v>
      </c>
      <c r="R80" t="s">
        <v>3</v>
      </c>
      <c r="X80" s="34"/>
    </row>
    <row r="81" spans="1:24" ht="18" x14ac:dyDescent="0.35">
      <c r="D81" s="10" t="s">
        <v>54</v>
      </c>
      <c r="E81">
        <f>E80*I6</f>
        <v>313.85454545454553</v>
      </c>
      <c r="F81" t="s">
        <v>3</v>
      </c>
      <c r="G81" t="s">
        <v>58</v>
      </c>
      <c r="L81" s="34"/>
      <c r="P81" s="10" t="s">
        <v>54</v>
      </c>
      <c r="Q81">
        <f>Q80*U6</f>
        <v>233.58545454545458</v>
      </c>
      <c r="R81" t="s">
        <v>3</v>
      </c>
      <c r="S81" t="s">
        <v>58</v>
      </c>
      <c r="X81" s="34"/>
    </row>
    <row r="82" spans="1:24" x14ac:dyDescent="0.25">
      <c r="D82" s="10" t="s">
        <v>55</v>
      </c>
      <c r="E82">
        <f>E3+2*E77</f>
        <v>2144</v>
      </c>
      <c r="F82" t="s">
        <v>2</v>
      </c>
      <c r="L82" s="34"/>
      <c r="P82" s="10" t="s">
        <v>55</v>
      </c>
      <c r="Q82">
        <f>Q3+2*Q77</f>
        <v>2924</v>
      </c>
      <c r="R82" t="s">
        <v>2</v>
      </c>
      <c r="X82" s="34"/>
    </row>
    <row r="83" spans="1:24" ht="18.75" x14ac:dyDescent="0.35">
      <c r="D83" s="10" t="s">
        <v>56</v>
      </c>
      <c r="E83">
        <f>E81*1000/(E82*E79)</f>
        <v>0.38161465400271377</v>
      </c>
      <c r="F83" t="s">
        <v>34</v>
      </c>
      <c r="G83" t="s">
        <v>57</v>
      </c>
      <c r="L83" s="34"/>
      <c r="P83" s="10" t="s">
        <v>56</v>
      </c>
      <c r="Q83">
        <f>Q81*1000/(Q82*Q79)</f>
        <v>0.27981594329063553</v>
      </c>
      <c r="R83" t="s">
        <v>34</v>
      </c>
      <c r="S83" t="s">
        <v>57</v>
      </c>
      <c r="X83" s="34"/>
    </row>
    <row r="84" spans="1:24" ht="17.25" x14ac:dyDescent="0.25">
      <c r="D84" s="10" t="s">
        <v>42</v>
      </c>
      <c r="E84">
        <f>E70*PI()*E9*E9/4</f>
        <v>2035.7520395261859</v>
      </c>
      <c r="F84" t="s">
        <v>43</v>
      </c>
      <c r="L84" s="34"/>
      <c r="P84" s="10" t="s">
        <v>42</v>
      </c>
      <c r="Q84">
        <f>Q70*PI()*Q9*Q9/4</f>
        <v>1244.0706908215579</v>
      </c>
      <c r="R84" t="s">
        <v>43</v>
      </c>
      <c r="X84" s="34"/>
    </row>
    <row r="85" spans="1:24" x14ac:dyDescent="0.25">
      <c r="D85" s="10" t="s">
        <v>59</v>
      </c>
      <c r="E85" s="29">
        <f>E84/(E82*E77)</f>
        <v>1.1551231295201603E-3</v>
      </c>
      <c r="F85" s="33"/>
      <c r="G85" s="33"/>
      <c r="L85" s="34"/>
      <c r="P85" s="10" t="s">
        <v>59</v>
      </c>
      <c r="Q85" s="29">
        <f>Q84/(Q82*Q77)</f>
        <v>3.5104684200560455E-4</v>
      </c>
      <c r="R85" s="33"/>
      <c r="S85" s="33"/>
      <c r="X85" s="34"/>
    </row>
    <row r="86" spans="1:24" ht="18.75" x14ac:dyDescent="0.35">
      <c r="D86" s="10" t="s">
        <v>62</v>
      </c>
      <c r="E86">
        <f>VLOOKUP(IF(E85&lt;=0.15,0.15,IF(E85&lt;=0.25,0.25,CEILING(E85,0.25))),Data!$E$6:$K$19,(E11/5-1),FALSE)</f>
        <v>0.28000000000000003</v>
      </c>
      <c r="F86" t="s">
        <v>34</v>
      </c>
      <c r="G86" t="s">
        <v>61</v>
      </c>
      <c r="L86" s="34"/>
      <c r="P86" s="10" t="s">
        <v>62</v>
      </c>
      <c r="Q86">
        <f>VLOOKUP(IF(Q85&lt;=0.15,0.15,IF(Q85&lt;=0.25,0.25,CEILING(Q85,0.25))),Data!$E$6:$K$19,(Q11/5-1),FALSE)</f>
        <v>0.28000000000000003</v>
      </c>
      <c r="R86" t="s">
        <v>34</v>
      </c>
      <c r="S86" t="s">
        <v>61</v>
      </c>
      <c r="X86" s="34"/>
    </row>
    <row r="87" spans="1:24" x14ac:dyDescent="0.25">
      <c r="L87" s="34"/>
      <c r="X87" s="34"/>
    </row>
    <row r="88" spans="1:24" x14ac:dyDescent="0.25">
      <c r="C88" s="48" t="str">
        <f>IF(E86&gt;E83,"One way Shear Check Passed","One way Shear Check Failed")</f>
        <v>One way Shear Check Failed</v>
      </c>
      <c r="D88" s="48"/>
      <c r="E88" s="48"/>
      <c r="F88" s="48"/>
      <c r="G88" s="48"/>
      <c r="H88" t="str">
        <f>IF(E86&lt;E83,"   (Make safe by increasing depth of footing)"," ")</f>
        <v xml:space="preserve">   (Make safe by increasing depth of footing)</v>
      </c>
      <c r="L88" s="34"/>
      <c r="O88" s="48" t="str">
        <f>IF(Q86&gt;Q83,"One way Shear Check Passed","One way Shear Check Failed")</f>
        <v>One way Shear Check Passed</v>
      </c>
      <c r="P88" s="48"/>
      <c r="Q88" s="48"/>
      <c r="R88" s="48"/>
      <c r="S88" s="48"/>
      <c r="T88" t="str">
        <f>IF(Q86&lt;Q83,"   (Make safe by increasing depth of footing)"," ")</f>
        <v xml:space="preserve"> </v>
      </c>
      <c r="X88" s="34"/>
    </row>
    <row r="89" spans="1:24" x14ac:dyDescent="0.25">
      <c r="L89" s="34"/>
      <c r="X89" s="34"/>
    </row>
    <row r="90" spans="1:24" ht="15.75" thickBot="1" x14ac:dyDescent="0.3">
      <c r="A90" s="37"/>
      <c r="B90" s="37"/>
      <c r="C90" s="37" t="s">
        <v>63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x14ac:dyDescent="0.25">
      <c r="L91" s="34"/>
      <c r="X91" s="34"/>
    </row>
    <row r="92" spans="1:24" x14ac:dyDescent="0.25">
      <c r="D92" s="10" t="str">
        <f>"Depth of footing at "&amp;E61/2&amp;"mm from column"</f>
        <v>Depth of footing at 411mm from column</v>
      </c>
      <c r="E92">
        <f>I60-((I60-I63)/((E36-E22)/2))*(E61/2)</f>
        <v>680.8</v>
      </c>
      <c r="F92" t="s">
        <v>2</v>
      </c>
      <c r="L92" s="34"/>
      <c r="P92" s="10" t="str">
        <f>"Depth of footing at "&amp;Q61/2&amp;"mm from column"</f>
        <v>Depth of footing at 606mm from column</v>
      </c>
      <c r="Q92">
        <f>U60-((U60-U63)/((Q36-Q22)/2))*(Q61/2)</f>
        <v>826.74666666666667</v>
      </c>
      <c r="R92" t="s">
        <v>2</v>
      </c>
      <c r="X92" s="34"/>
    </row>
    <row r="93" spans="1:24" x14ac:dyDescent="0.25">
      <c r="D93" s="10" t="s">
        <v>65</v>
      </c>
      <c r="E93">
        <f>E92-I7-(1.5*E9)</f>
        <v>602.79999999999995</v>
      </c>
      <c r="F93" t="s">
        <v>2</v>
      </c>
      <c r="L93" s="34"/>
      <c r="P93" s="10" t="s">
        <v>65</v>
      </c>
      <c r="Q93">
        <f>Q92-U7-(1.5*Q9)</f>
        <v>748.74666666666667</v>
      </c>
      <c r="R93" t="s">
        <v>2</v>
      </c>
      <c r="X93" s="34"/>
    </row>
    <row r="94" spans="1:24" x14ac:dyDescent="0.25">
      <c r="D94" s="10" t="s">
        <v>66</v>
      </c>
      <c r="E94">
        <f>4*(E3+E61)</f>
        <v>5288</v>
      </c>
      <c r="F94" t="s">
        <v>2</v>
      </c>
      <c r="L94" s="34"/>
      <c r="P94" s="10" t="s">
        <v>66</v>
      </c>
      <c r="Q94">
        <f>4*(Q3+Q61)</f>
        <v>6848</v>
      </c>
      <c r="R94" t="s">
        <v>2</v>
      </c>
      <c r="X94" s="34"/>
    </row>
    <row r="95" spans="1:24" x14ac:dyDescent="0.25">
      <c r="D95" s="10" t="s">
        <v>53</v>
      </c>
      <c r="E95">
        <f>E42*((E41*E41)-((E3+E77)^2))/1000000</f>
        <v>1153.3519338842975</v>
      </c>
      <c r="F95" t="s">
        <v>3</v>
      </c>
      <c r="L95" s="34"/>
      <c r="P95" s="10" t="s">
        <v>53</v>
      </c>
      <c r="Q95">
        <f>Q42*((Q41*Q41)-((Q3+Q77)^2))/1000000</f>
        <v>918.65573553719003</v>
      </c>
      <c r="R95" t="s">
        <v>3</v>
      </c>
      <c r="X95" s="34"/>
    </row>
    <row r="96" spans="1:24" x14ac:dyDescent="0.25">
      <c r="D96" s="10" t="s">
        <v>67</v>
      </c>
      <c r="E96">
        <f>E95*I6</f>
        <v>1730.0279008264463</v>
      </c>
      <c r="F96" t="s">
        <v>3</v>
      </c>
      <c r="L96" s="34"/>
      <c r="P96" s="10" t="s">
        <v>67</v>
      </c>
      <c r="Q96">
        <f>Q95*U6</f>
        <v>1377.983603305785</v>
      </c>
      <c r="R96" t="s">
        <v>3</v>
      </c>
      <c r="X96" s="34"/>
    </row>
    <row r="97" spans="1:24" ht="18.75" x14ac:dyDescent="0.35">
      <c r="D97" s="10" t="s">
        <v>68</v>
      </c>
      <c r="E97">
        <f>E96*1000/(E94*E93)</f>
        <v>0.54273573450801404</v>
      </c>
      <c r="F97" t="s">
        <v>34</v>
      </c>
      <c r="G97" t="s">
        <v>57</v>
      </c>
      <c r="L97" s="34"/>
      <c r="P97" s="10" t="s">
        <v>68</v>
      </c>
      <c r="Q97">
        <f>Q96*1000/(Q94*Q93)</f>
        <v>0.26874809611209338</v>
      </c>
      <c r="R97" t="s">
        <v>34</v>
      </c>
      <c r="S97" t="s">
        <v>57</v>
      </c>
      <c r="X97" s="34"/>
    </row>
    <row r="98" spans="1:24" ht="18" x14ac:dyDescent="0.35">
      <c r="D98" s="10" t="s">
        <v>69</v>
      </c>
      <c r="E98">
        <v>1</v>
      </c>
      <c r="L98" s="34"/>
      <c r="P98" s="10" t="s">
        <v>69</v>
      </c>
      <c r="Q98">
        <v>1</v>
      </c>
      <c r="X98" s="34"/>
    </row>
    <row r="99" spans="1:24" ht="18.75" x14ac:dyDescent="0.35">
      <c r="D99" s="10" t="s">
        <v>62</v>
      </c>
      <c r="E99">
        <f>E98*0.25*SQRT(E11)</f>
        <v>1.1180339887498949</v>
      </c>
      <c r="F99" t="s">
        <v>34</v>
      </c>
      <c r="G99" t="s">
        <v>61</v>
      </c>
      <c r="L99" s="34"/>
      <c r="P99" s="10" t="s">
        <v>62</v>
      </c>
      <c r="Q99">
        <f>Q98*0.25*SQRT(Q11)</f>
        <v>1.1180339887498949</v>
      </c>
      <c r="R99" t="s">
        <v>34</v>
      </c>
      <c r="S99" t="s">
        <v>61</v>
      </c>
      <c r="X99" s="34"/>
    </row>
    <row r="100" spans="1:24" x14ac:dyDescent="0.25">
      <c r="L100" s="34"/>
      <c r="X100" s="34"/>
    </row>
    <row r="101" spans="1:24" ht="15.75" thickBot="1" x14ac:dyDescent="0.3">
      <c r="C101" s="48" t="str">
        <f>IF(E99&gt;E97,"Two way Shear Check Passed","Two way Shear Check Failed")</f>
        <v>Two way Shear Check Passed</v>
      </c>
      <c r="D101" s="48"/>
      <c r="E101" s="48"/>
      <c r="F101" s="48"/>
      <c r="G101" s="48"/>
      <c r="H101" t="str">
        <f>IF(E99&lt;E97,"   (Make safe by increasing depth of footing)"," ")</f>
        <v xml:space="preserve"> </v>
      </c>
      <c r="L101" s="34"/>
      <c r="O101" s="48" t="str">
        <f>IF(Q99&gt;Q97,"Two way Shear Check Passed","Two way Shear Check Failed")</f>
        <v>Two way Shear Check Passed</v>
      </c>
      <c r="P101" s="48"/>
      <c r="Q101" s="48"/>
      <c r="R101" s="48"/>
      <c r="S101" s="48"/>
      <c r="T101" t="str">
        <f>IF(Q99&lt;Q97,"   (Make safe by increasing depth of footing)"," ")</f>
        <v xml:space="preserve"> </v>
      </c>
      <c r="X101" s="34"/>
    </row>
    <row r="102" spans="1:24" ht="15.75" thickTop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</row>
  </sheetData>
  <sheetProtection algorithmName="SHA-512" hashValue="ajXLbfp5DGeda40fSLTvR31eVYngaYPy9MoINLCbyTovSo8v1FbQfBJS+VbZSm5R9IyQFStFTh8yC0HeLjnygw==" saltValue="dEUL/mtZYcElFwvEumu+Bw==" spinCount="100000" sheet="1" objects="1" scenarios="1" selectLockedCells="1"/>
  <mergeCells count="16">
    <mergeCell ref="C88:G88"/>
    <mergeCell ref="C101:G101"/>
    <mergeCell ref="Q22:Q23"/>
    <mergeCell ref="T32:T33"/>
    <mergeCell ref="O101:S101"/>
    <mergeCell ref="C55:F55"/>
    <mergeCell ref="I34:I35"/>
    <mergeCell ref="E22:E23"/>
    <mergeCell ref="E36:E37"/>
    <mergeCell ref="H32:H33"/>
    <mergeCell ref="C46:F46"/>
    <mergeCell ref="U34:U35"/>
    <mergeCell ref="Q36:Q37"/>
    <mergeCell ref="O46:R46"/>
    <mergeCell ref="O55:R55"/>
    <mergeCell ref="O88:S88"/>
  </mergeCells>
  <conditionalFormatting sqref="C88:G88">
    <cfRule type="expression" dxfId="3" priority="6">
      <formula>IF(E86&lt;E83,1,0)</formula>
    </cfRule>
  </conditionalFormatting>
  <conditionalFormatting sqref="C101:G101">
    <cfRule type="expression" dxfId="2" priority="5">
      <formula>IF(E99&lt;E97,1,0)</formula>
    </cfRule>
  </conditionalFormatting>
  <conditionalFormatting sqref="O88:S88">
    <cfRule type="expression" dxfId="1" priority="2">
      <formula>IF(Q86&lt;Q83,1,0)</formula>
    </cfRule>
  </conditionalFormatting>
  <conditionalFormatting sqref="O101:S101">
    <cfRule type="expression" dxfId="0" priority="1">
      <formula>IF(Q99&lt;Q97,1,0)</formula>
    </cfRule>
  </conditionalFormatting>
  <dataValidations count="1">
    <dataValidation type="list" allowBlank="1" showInputMessage="1" showErrorMessage="1" sqref="E10 Q10">
      <formula1>"415,500"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O19"/>
  <sheetViews>
    <sheetView showGridLines="0" workbookViewId="0"/>
  </sheetViews>
  <sheetFormatPr defaultRowHeight="15" x14ac:dyDescent="0.25"/>
  <sheetData>
    <row r="5" spans="5:15" ht="20.25" x14ac:dyDescent="0.35">
      <c r="E5" s="50" t="s">
        <v>60</v>
      </c>
      <c r="F5" s="50"/>
      <c r="G5" s="50"/>
      <c r="H5" s="50"/>
      <c r="I5" s="50"/>
      <c r="J5" s="50"/>
      <c r="K5" s="50"/>
      <c r="O5" s="10"/>
    </row>
    <row r="6" spans="5:15" x14ac:dyDescent="0.25">
      <c r="E6" s="20"/>
      <c r="F6" s="30">
        <v>15</v>
      </c>
      <c r="G6" s="30">
        <v>20</v>
      </c>
      <c r="H6" s="30">
        <v>25</v>
      </c>
      <c r="I6" s="30">
        <v>30</v>
      </c>
      <c r="J6" s="30">
        <v>35</v>
      </c>
      <c r="K6" s="30">
        <v>40</v>
      </c>
    </row>
    <row r="7" spans="5:15" x14ac:dyDescent="0.25">
      <c r="E7" s="31">
        <v>0.15</v>
      </c>
      <c r="F7" s="32">
        <v>0.28000000000000003</v>
      </c>
      <c r="G7" s="32">
        <v>0.28000000000000003</v>
      </c>
      <c r="H7" s="32">
        <v>0.28999999999999998</v>
      </c>
      <c r="I7" s="32">
        <v>0.28999999999999998</v>
      </c>
      <c r="J7" s="32">
        <v>0.28999999999999998</v>
      </c>
      <c r="K7" s="32">
        <v>0.3</v>
      </c>
    </row>
    <row r="8" spans="5:15" x14ac:dyDescent="0.25">
      <c r="E8" s="31">
        <v>0.25</v>
      </c>
      <c r="F8" s="32">
        <v>0.35</v>
      </c>
      <c r="G8" s="32">
        <v>0.36</v>
      </c>
      <c r="H8" s="32">
        <v>0.36</v>
      </c>
      <c r="I8" s="32">
        <v>0.37</v>
      </c>
      <c r="J8" s="32">
        <v>0.37</v>
      </c>
      <c r="K8" s="32">
        <v>0.38</v>
      </c>
    </row>
    <row r="9" spans="5:15" x14ac:dyDescent="0.25">
      <c r="E9" s="31">
        <v>0.5</v>
      </c>
      <c r="F9" s="32">
        <v>0.46</v>
      </c>
      <c r="G9" s="32">
        <v>0.48</v>
      </c>
      <c r="H9" s="32">
        <v>0.49</v>
      </c>
      <c r="I9" s="32">
        <v>0.5</v>
      </c>
      <c r="J9" s="32">
        <v>0.5</v>
      </c>
      <c r="K9" s="32">
        <v>0.51</v>
      </c>
    </row>
    <row r="10" spans="5:15" x14ac:dyDescent="0.25">
      <c r="E10" s="31">
        <v>0.75</v>
      </c>
      <c r="F10" s="32">
        <v>0.54</v>
      </c>
      <c r="G10" s="32">
        <v>0.56000000000000005</v>
      </c>
      <c r="H10" s="32">
        <v>0.56999999999999995</v>
      </c>
      <c r="I10" s="32">
        <v>0.59</v>
      </c>
      <c r="J10" s="32">
        <v>0.59</v>
      </c>
      <c r="K10" s="32">
        <v>0.6</v>
      </c>
    </row>
    <row r="11" spans="5:15" x14ac:dyDescent="0.25">
      <c r="E11" s="31">
        <v>1</v>
      </c>
      <c r="F11" s="32">
        <v>0.6</v>
      </c>
      <c r="G11" s="32">
        <v>0.62</v>
      </c>
      <c r="H11" s="32">
        <v>0.64</v>
      </c>
      <c r="I11" s="32">
        <v>0.66</v>
      </c>
      <c r="J11" s="32">
        <v>0.67</v>
      </c>
      <c r="K11" s="32">
        <v>0.68</v>
      </c>
    </row>
    <row r="12" spans="5:15" x14ac:dyDescent="0.25">
      <c r="E12" s="31">
        <v>1.25</v>
      </c>
      <c r="F12" s="32">
        <v>0.64</v>
      </c>
      <c r="G12" s="32">
        <v>0.67</v>
      </c>
      <c r="H12" s="32">
        <v>0.7</v>
      </c>
      <c r="I12" s="32">
        <v>0.71</v>
      </c>
      <c r="J12" s="32">
        <v>0.73</v>
      </c>
      <c r="K12" s="32">
        <v>0.74</v>
      </c>
    </row>
    <row r="13" spans="5:15" x14ac:dyDescent="0.25">
      <c r="E13" s="31">
        <v>1.5</v>
      </c>
      <c r="F13" s="32">
        <v>0.68</v>
      </c>
      <c r="G13" s="32">
        <v>0.72</v>
      </c>
      <c r="H13" s="32">
        <v>0.74</v>
      </c>
      <c r="I13" s="32">
        <v>0.76</v>
      </c>
      <c r="J13" s="32">
        <v>0.78</v>
      </c>
      <c r="K13" s="32">
        <v>0.79</v>
      </c>
    </row>
    <row r="14" spans="5:15" x14ac:dyDescent="0.25">
      <c r="E14" s="31">
        <v>1.75</v>
      </c>
      <c r="F14" s="32">
        <v>0.71</v>
      </c>
      <c r="G14" s="32">
        <v>0.75</v>
      </c>
      <c r="H14" s="32">
        <v>0.78</v>
      </c>
      <c r="I14" s="32">
        <v>0.8</v>
      </c>
      <c r="J14" s="32">
        <v>0.82</v>
      </c>
      <c r="K14" s="32">
        <v>0.84</v>
      </c>
    </row>
    <row r="15" spans="5:15" x14ac:dyDescent="0.25">
      <c r="E15" s="31">
        <v>2</v>
      </c>
      <c r="F15" s="32">
        <v>0.71</v>
      </c>
      <c r="G15" s="32">
        <v>0.79</v>
      </c>
      <c r="H15" s="32">
        <v>0.82</v>
      </c>
      <c r="I15" s="32">
        <v>0.84</v>
      </c>
      <c r="J15" s="32">
        <v>0.86</v>
      </c>
      <c r="K15" s="32">
        <v>0.88</v>
      </c>
    </row>
    <row r="16" spans="5:15" x14ac:dyDescent="0.25">
      <c r="E16" s="31">
        <v>2.25</v>
      </c>
      <c r="F16" s="32">
        <v>0.71</v>
      </c>
      <c r="G16" s="32">
        <v>0.81</v>
      </c>
      <c r="H16" s="32">
        <v>0.85</v>
      </c>
      <c r="I16" s="32">
        <v>0.88</v>
      </c>
      <c r="J16" s="32">
        <v>0.9</v>
      </c>
      <c r="K16" s="32">
        <v>0.92</v>
      </c>
    </row>
    <row r="17" spans="5:11" x14ac:dyDescent="0.25">
      <c r="E17" s="31">
        <v>2.5</v>
      </c>
      <c r="F17" s="32">
        <v>0.71</v>
      </c>
      <c r="G17" s="32">
        <v>0.82</v>
      </c>
      <c r="H17" s="32">
        <v>0.88</v>
      </c>
      <c r="I17" s="32">
        <v>0.91</v>
      </c>
      <c r="J17" s="32">
        <v>0.93</v>
      </c>
      <c r="K17" s="32">
        <v>0.95</v>
      </c>
    </row>
    <row r="18" spans="5:11" x14ac:dyDescent="0.25">
      <c r="E18" s="31">
        <v>2.75</v>
      </c>
      <c r="F18" s="32">
        <v>0.71</v>
      </c>
      <c r="G18" s="32">
        <v>0.82</v>
      </c>
      <c r="H18" s="32">
        <v>0.9</v>
      </c>
      <c r="I18" s="32">
        <v>0.94</v>
      </c>
      <c r="J18" s="32">
        <v>0.96</v>
      </c>
      <c r="K18" s="32">
        <v>0.98</v>
      </c>
    </row>
    <row r="19" spans="5:11" x14ac:dyDescent="0.25">
      <c r="E19" s="31">
        <v>3</v>
      </c>
      <c r="F19" s="32">
        <v>0.71</v>
      </c>
      <c r="G19" s="32">
        <v>0.82</v>
      </c>
      <c r="H19" s="32">
        <v>0.92</v>
      </c>
      <c r="I19" s="32">
        <v>0.96</v>
      </c>
      <c r="J19" s="32">
        <v>0.99</v>
      </c>
      <c r="K19" s="32">
        <v>1.01</v>
      </c>
    </row>
  </sheetData>
  <sheetProtection algorithmName="SHA-512" hashValue="jBRE/kdZyBrJcjGor4IrzNMcSCGxMFgvFl+UT8dr8XJs9F+fU3voswwPGZ4dLD7upgAW+1tx2JTiZWiaLzPvBg==" saltValue="hcjaPeQEwNzGUQeie/fH4Q==" spinCount="100000" sheet="1" objects="1" scenarios="1" selectLockedCells="1"/>
  <mergeCells count="1">
    <mergeCell ref="E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Sheokand</dc:creator>
  <cp:lastModifiedBy>Rahul Sheokand</cp:lastModifiedBy>
  <dcterms:created xsi:type="dcterms:W3CDTF">2016-05-14T06:23:52Z</dcterms:created>
  <dcterms:modified xsi:type="dcterms:W3CDTF">2016-05-15T22:45:11Z</dcterms:modified>
</cp:coreProperties>
</file>